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defaultThemeVersion="166925"/>
  <mc:AlternateContent xmlns:mc="http://schemas.openxmlformats.org/markup-compatibility/2006">
    <mc:Choice Requires="x15">
      <x15ac:absPath xmlns:x15ac="http://schemas.microsoft.com/office/spreadsheetml/2010/11/ac" url="/Users/benbergantz/Desktop/"/>
    </mc:Choice>
  </mc:AlternateContent>
  <xr:revisionPtr revIDLastSave="0" documentId="8_{C5625784-3A61-425F-A5F6-7F3A4C72BF31}" xr6:coauthVersionLast="47" xr6:coauthVersionMax="47" xr10:uidLastSave="{00000000-0000-0000-0000-000000000000}"/>
  <bookViews>
    <workbookView xWindow="2820" yWindow="780" windowWidth="23380" windowHeight="17220" xr2:uid="{CBD0E6D1-2364-5E43-AB46-511EDDDA791D}"/>
  </bookViews>
  <sheets>
    <sheet name="Introduction" sheetId="14" r:id="rId1"/>
    <sheet name="Glossary of Terms" sheetId="15" r:id="rId2"/>
    <sheet name="Getting Started" sheetId="21" r:id="rId3"/>
    <sheet name="Energy Worksheet" sheetId="13" r:id="rId4"/>
    <sheet name="Costs Worksheet" sheetId="12" r:id="rId5"/>
    <sheet name="Incentives Worksheet" sheetId="17" r:id="rId6"/>
    <sheet name="Measure Selection" sheetId="20" r:id="rId7"/>
    <sheet name="Output Dashboard" sheetId="9" r:id="rId8"/>
  </sheets>
  <definedNames>
    <definedName name="_xlnm.Print_Area" localSheetId="7">'Output Dashboard'!$B$1:$AU$26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1" l="1"/>
  <c r="F10" i="21" s="1"/>
  <c r="C12" i="13"/>
  <c r="B11" i="12"/>
  <c r="F19" i="12"/>
  <c r="F13" i="21" l="1"/>
  <c r="F12" i="21"/>
  <c r="B9" i="12"/>
  <c r="B22" i="12"/>
  <c r="B8" i="12"/>
  <c r="L8" i="20"/>
  <c r="K8" i="20"/>
  <c r="B23" i="20" l="1"/>
  <c r="C4" i="9"/>
  <c r="I5" i="9" s="1"/>
  <c r="B13" i="20" l="1"/>
  <c r="C12" i="20"/>
  <c r="C7" i="9"/>
  <c r="C9" i="9"/>
  <c r="M8" i="20"/>
  <c r="P4" i="9" s="1"/>
  <c r="I9" i="20"/>
  <c r="C15" i="20"/>
  <c r="F15" i="17"/>
  <c r="C23" i="9" s="1"/>
  <c r="C15" i="17"/>
  <c r="C22" i="9" s="1"/>
  <c r="C8" i="9" l="1"/>
  <c r="E8" i="12" l="1"/>
  <c r="E9" i="12"/>
  <c r="E9" i="20" s="1"/>
  <c r="E10" i="12"/>
  <c r="E10" i="20" s="1"/>
  <c r="E11" i="12"/>
  <c r="E12" i="12"/>
  <c r="E12" i="20" s="1"/>
  <c r="E13" i="12"/>
  <c r="E14" i="12"/>
  <c r="E14" i="20" s="1"/>
  <c r="E15" i="12"/>
  <c r="E16" i="12"/>
  <c r="E17" i="12"/>
  <c r="E25" i="20"/>
  <c r="E26" i="20"/>
  <c r="E27" i="20"/>
  <c r="E24" i="20"/>
  <c r="E23" i="20"/>
  <c r="E16" i="20"/>
  <c r="E17" i="20"/>
  <c r="E18" i="20"/>
  <c r="E19" i="20"/>
  <c r="C27" i="20"/>
  <c r="C26" i="20"/>
  <c r="C25" i="20"/>
  <c r="C24" i="20"/>
  <c r="C23" i="20"/>
  <c r="C28" i="20" s="1"/>
  <c r="C9" i="20"/>
  <c r="C10" i="20"/>
  <c r="C11" i="20"/>
  <c r="C13" i="20"/>
  <c r="C14" i="20"/>
  <c r="C16" i="20"/>
  <c r="C17" i="20"/>
  <c r="C18" i="20"/>
  <c r="C19" i="20"/>
  <c r="C8" i="20"/>
  <c r="D9" i="20"/>
  <c r="D10" i="20"/>
  <c r="D11" i="20"/>
  <c r="D12" i="20"/>
  <c r="D13" i="20"/>
  <c r="D14" i="20"/>
  <c r="D15" i="20"/>
  <c r="D16" i="20"/>
  <c r="D17" i="20"/>
  <c r="D18" i="20"/>
  <c r="D19" i="20"/>
  <c r="D8" i="20"/>
  <c r="D24" i="20"/>
  <c r="D25" i="20"/>
  <c r="D26" i="20"/>
  <c r="D27" i="20"/>
  <c r="D23" i="20"/>
  <c r="B25" i="20"/>
  <c r="B8" i="20"/>
  <c r="B9" i="20"/>
  <c r="B10" i="20"/>
  <c r="F6" i="9" l="1"/>
  <c r="L20" i="9" s="1"/>
  <c r="C20" i="20"/>
  <c r="F4" i="9" s="1"/>
  <c r="G4" i="9" s="1"/>
  <c r="D28" i="20"/>
  <c r="C17" i="9" s="1"/>
  <c r="F23" i="20"/>
  <c r="F24" i="20"/>
  <c r="F25" i="20"/>
  <c r="F14" i="20"/>
  <c r="F26" i="20"/>
  <c r="F27" i="20"/>
  <c r="B19" i="20"/>
  <c r="B27" i="20"/>
  <c r="B26" i="20"/>
  <c r="P20" i="12"/>
  <c r="P21" i="12"/>
  <c r="P22" i="12"/>
  <c r="O20" i="12"/>
  <c r="O22" i="12"/>
  <c r="O21" i="12"/>
  <c r="C5" i="9"/>
  <c r="B25" i="12"/>
  <c r="O26" i="12" s="1"/>
  <c r="E25" i="12"/>
  <c r="P26" i="12" s="1"/>
  <c r="B26" i="12"/>
  <c r="O27" i="12" s="1"/>
  <c r="E26" i="12"/>
  <c r="P27" i="12" s="1"/>
  <c r="C13" i="9"/>
  <c r="C11" i="9"/>
  <c r="E23" i="12"/>
  <c r="P24" i="12" s="1"/>
  <c r="E24" i="12"/>
  <c r="P25" i="12" s="1"/>
  <c r="E28" i="20"/>
  <c r="B23" i="12"/>
  <c r="O24" i="12" s="1"/>
  <c r="B24" i="12"/>
  <c r="O25" i="12" s="1"/>
  <c r="O23" i="12"/>
  <c r="O8" i="12"/>
  <c r="O9" i="12"/>
  <c r="B10" i="12"/>
  <c r="O10" i="12" s="1"/>
  <c r="O11" i="12"/>
  <c r="B12" i="12"/>
  <c r="O12" i="12" s="1"/>
  <c r="B13" i="12"/>
  <c r="O13" i="12" s="1"/>
  <c r="B14" i="12"/>
  <c r="O14" i="12" s="1"/>
  <c r="B15" i="12"/>
  <c r="O15" i="12" s="1"/>
  <c r="B16" i="12"/>
  <c r="O16" i="12" s="1"/>
  <c r="B17" i="12"/>
  <c r="O17" i="12" s="1"/>
  <c r="B18" i="12"/>
  <c r="O18" i="12" s="1"/>
  <c r="B19" i="12"/>
  <c r="O19" i="12" s="1"/>
  <c r="B24" i="20"/>
  <c r="B18" i="20"/>
  <c r="B17" i="20"/>
  <c r="B16" i="20"/>
  <c r="B15" i="20"/>
  <c r="B14" i="20"/>
  <c r="B12" i="20"/>
  <c r="B11" i="20"/>
  <c r="E22" i="12"/>
  <c r="P23" i="12" s="1"/>
  <c r="G6" i="9" l="1"/>
  <c r="C20" i="9"/>
  <c r="K9" i="20"/>
  <c r="J13" i="20"/>
  <c r="N8" i="20"/>
  <c r="F15" i="12"/>
  <c r="P15" i="12" s="1"/>
  <c r="E15" i="20"/>
  <c r="F15" i="20" s="1"/>
  <c r="J19" i="20"/>
  <c r="F28" i="20"/>
  <c r="K19" i="20" s="1"/>
  <c r="C15" i="9"/>
  <c r="D20" i="20"/>
  <c r="F5" i="9" l="1"/>
  <c r="G5" i="9" s="1"/>
  <c r="L9" i="20"/>
  <c r="C14" i="9" s="1"/>
  <c r="J12" i="20"/>
  <c r="E19" i="12"/>
  <c r="F19" i="20" s="1"/>
  <c r="E18" i="12"/>
  <c r="E8" i="20"/>
  <c r="E11" i="20"/>
  <c r="E13" i="20"/>
  <c r="F13" i="20" s="1"/>
  <c r="M9" i="20" l="1"/>
  <c r="N9" i="20" s="1"/>
  <c r="J14" i="20" s="1"/>
  <c r="C12" i="9"/>
  <c r="P5" i="9" s="1"/>
  <c r="F8" i="20"/>
  <c r="F8" i="12"/>
  <c r="P8" i="12" s="1"/>
  <c r="F13" i="12"/>
  <c r="P13" i="12" s="1"/>
  <c r="F12" i="12"/>
  <c r="P12" i="12" s="1"/>
  <c r="F12" i="20"/>
  <c r="F11" i="12"/>
  <c r="P11" i="12" s="1"/>
  <c r="F11" i="20"/>
  <c r="F10" i="12"/>
  <c r="P10" i="12" s="1"/>
  <c r="F10" i="20"/>
  <c r="F9" i="12"/>
  <c r="P9" i="12" s="1"/>
  <c r="F9" i="20"/>
  <c r="F18" i="12"/>
  <c r="P18" i="12" s="1"/>
  <c r="F18" i="20"/>
  <c r="F17" i="12"/>
  <c r="P17" i="12" s="1"/>
  <c r="F17" i="20"/>
  <c r="F14" i="12"/>
  <c r="P14" i="12" s="1"/>
  <c r="F16" i="12"/>
  <c r="P16" i="12" s="1"/>
  <c r="F16" i="20"/>
  <c r="L19" i="9" l="1"/>
  <c r="L19" i="20"/>
  <c r="M19" i="20" s="1"/>
  <c r="G7" i="9"/>
  <c r="E20" i="20"/>
  <c r="L18" i="20" l="1"/>
  <c r="M18" i="20" s="1"/>
  <c r="C19" i="9"/>
  <c r="F11" i="9" s="1"/>
  <c r="J9" i="20"/>
  <c r="F20" i="20"/>
  <c r="K18" i="20" s="1"/>
  <c r="J18" i="20"/>
  <c r="J20" i="20" s="1"/>
  <c r="K20" i="20" s="1"/>
  <c r="L20" i="20" l="1"/>
  <c r="M20" i="20" s="1"/>
  <c r="P20" i="9"/>
  <c r="P19" i="12" l="1"/>
  <c r="I8" i="12" s="1" a="1"/>
  <c r="I8" i="12" s="1"/>
  <c r="AJ20" i="9"/>
  <c r="AT20" i="9" s="1"/>
  <c r="P19" i="9" l="1"/>
  <c r="Z19" i="9" s="1"/>
  <c r="Z20" i="9"/>
  <c r="AJ19" i="9"/>
  <c r="AT19" i="9" s="1"/>
  <c r="AJ21" i="9" l="1"/>
  <c r="AT18" i="9"/>
  <c r="AJ18" i="9"/>
  <c r="H10" i="9"/>
  <c r="I10" i="9" s="1"/>
  <c r="J10" i="9" s="1"/>
  <c r="K10" i="9" s="1"/>
  <c r="L10" i="9" s="1"/>
  <c r="M10" i="9" s="1"/>
  <c r="N10" i="9" s="1"/>
  <c r="O10" i="9" s="1"/>
  <c r="P10" i="9" s="1"/>
  <c r="Q10" i="9" s="1"/>
  <c r="R10" i="9" s="1"/>
  <c r="S10" i="9" s="1"/>
  <c r="T10" i="9" s="1"/>
  <c r="U10" i="9" s="1"/>
  <c r="V10" i="9" s="1"/>
  <c r="W10" i="9" s="1"/>
  <c r="X10" i="9" s="1"/>
  <c r="Y10" i="9" s="1"/>
  <c r="Z10" i="9" s="1"/>
  <c r="AA10" i="9" s="1"/>
  <c r="AB10" i="9" s="1"/>
  <c r="AC10" i="9" s="1"/>
  <c r="AD10" i="9" s="1"/>
  <c r="AE10" i="9" s="1"/>
  <c r="AF10" i="9" s="1"/>
  <c r="AG10" i="9" s="1"/>
  <c r="AH10" i="9" s="1"/>
  <c r="AI10" i="9" s="1"/>
  <c r="AJ10" i="9" s="1"/>
  <c r="AK10" i="9" s="1"/>
  <c r="AL10" i="9" s="1"/>
  <c r="AM10" i="9" s="1"/>
  <c r="AN10" i="9" s="1"/>
  <c r="AO10" i="9" s="1"/>
  <c r="AP10" i="9" s="1"/>
  <c r="AQ10" i="9" s="1"/>
  <c r="AR10" i="9" s="1"/>
  <c r="AS10" i="9" s="1"/>
  <c r="AT10" i="9" s="1"/>
  <c r="P21" i="9" l="1"/>
  <c r="G11" i="9"/>
  <c r="H11" i="9" s="1"/>
  <c r="I11" i="9" l="1"/>
  <c r="J11" i="9" s="1"/>
  <c r="K11" i="9" s="1"/>
  <c r="L11" i="9" s="1"/>
  <c r="M11" i="9" s="1"/>
  <c r="N11" i="9" s="1"/>
  <c r="O11" i="9" s="1"/>
  <c r="P11" i="9" s="1"/>
  <c r="Q11" i="9" s="1"/>
  <c r="R11" i="9" s="1"/>
  <c r="S11" i="9" s="1"/>
  <c r="T11" i="9" s="1"/>
  <c r="U11" i="9" s="1"/>
  <c r="V11" i="9" s="1"/>
  <c r="W11" i="9" s="1"/>
  <c r="X11" i="9" s="1"/>
  <c r="Y11" i="9" s="1"/>
  <c r="Z11" i="9" s="1"/>
  <c r="AA11" i="9" s="1"/>
  <c r="AB11" i="9" s="1"/>
  <c r="AC11" i="9" s="1"/>
  <c r="AD11" i="9" s="1"/>
  <c r="AE11" i="9" s="1"/>
  <c r="AF11" i="9" s="1"/>
  <c r="AG11" i="9" s="1"/>
  <c r="AH11" i="9" s="1"/>
  <c r="AI11" i="9" s="1"/>
  <c r="AJ11" i="9" s="1"/>
  <c r="AK11" i="9" s="1"/>
  <c r="AL11" i="9" s="1"/>
  <c r="AM11" i="9" s="1"/>
  <c r="AN11" i="9" s="1"/>
  <c r="AO11" i="9" s="1"/>
  <c r="AP11" i="9" s="1"/>
  <c r="AQ11" i="9" s="1"/>
  <c r="AR11" i="9" s="1"/>
  <c r="AS11" i="9" s="1"/>
  <c r="AT11" i="9" s="1"/>
  <c r="L21" i="9"/>
  <c r="AT21" i="9" s="1"/>
  <c r="Z21" i="9" l="1"/>
  <c r="F19" i="9"/>
  <c r="F20" i="9"/>
  <c r="F18" i="9"/>
  <c r="F12" i="9" l="1"/>
  <c r="G12" i="9" s="1"/>
  <c r="G13" i="9" s="1"/>
  <c r="G16" i="9" s="1"/>
  <c r="H12" i="9" l="1"/>
  <c r="H13" i="9" s="1"/>
  <c r="H16" i="9" s="1"/>
  <c r="I12" i="9" l="1"/>
  <c r="J12" i="9" s="1"/>
  <c r="I13" i="9" l="1"/>
  <c r="I16" i="9" s="1"/>
  <c r="J13" i="9"/>
  <c r="J16" i="9" s="1"/>
  <c r="K12" i="9"/>
  <c r="K13" i="9" s="1"/>
  <c r="K16" i="9" s="1"/>
  <c r="L12" i="9" l="1"/>
  <c r="L13" i="9" s="1"/>
  <c r="L16" i="9" s="1"/>
  <c r="M12" i="9" l="1"/>
  <c r="M13" i="9" s="1"/>
  <c r="M16" i="9" s="1"/>
  <c r="N12" i="9" l="1"/>
  <c r="N13" i="9" s="1"/>
  <c r="N16" i="9" s="1"/>
  <c r="O12" i="9" l="1"/>
  <c r="O13" i="9" s="1"/>
  <c r="O16" i="9" s="1"/>
  <c r="P12" i="9" l="1"/>
  <c r="Q12" i="9" s="1"/>
  <c r="P13" i="9" l="1"/>
  <c r="P16" i="9" s="1"/>
  <c r="Q13" i="9"/>
  <c r="Q16" i="9" s="1"/>
  <c r="R12" i="9"/>
  <c r="R13" i="9" l="1"/>
  <c r="R16" i="9" s="1"/>
  <c r="S12" i="9"/>
  <c r="S13" i="9" s="1"/>
  <c r="S16" i="9" s="1"/>
  <c r="T12" i="9" l="1"/>
  <c r="T13" i="9" s="1"/>
  <c r="T16" i="9" s="1"/>
  <c r="U12" i="9" l="1"/>
  <c r="U13" i="9" s="1"/>
  <c r="U16" i="9" s="1"/>
  <c r="V12" i="9" l="1"/>
  <c r="W12" i="9" s="1"/>
  <c r="V13" i="9" l="1"/>
  <c r="V16" i="9" s="1"/>
  <c r="W13" i="9"/>
  <c r="W16" i="9" s="1"/>
  <c r="X12" i="9"/>
  <c r="X13" i="9" l="1"/>
  <c r="X16" i="9" s="1"/>
  <c r="Y12" i="9"/>
  <c r="Z12" i="9" s="1"/>
  <c r="Y13" i="9" l="1"/>
  <c r="Y16" i="9" s="1"/>
  <c r="Z13" i="9"/>
  <c r="Z16" i="9" s="1"/>
  <c r="AA12" i="9"/>
  <c r="AA13" i="9" l="1"/>
  <c r="AA16" i="9" s="1"/>
  <c r="AB12" i="9"/>
  <c r="AC12" i="9" s="1"/>
  <c r="AB13" i="9" l="1"/>
  <c r="AB16" i="9" s="1"/>
  <c r="AC13" i="9"/>
  <c r="AC16" i="9" s="1"/>
  <c r="AD12" i="9"/>
  <c r="AD13" i="9" s="1"/>
  <c r="AD16" i="9" s="1"/>
  <c r="AE12" i="9" l="1"/>
  <c r="AE13" i="9" s="1"/>
  <c r="AE16" i="9" s="1"/>
  <c r="AF12" i="9" l="1"/>
  <c r="AF13" i="9" s="1"/>
  <c r="AF16" i="9" s="1"/>
  <c r="AG12" i="9" l="1"/>
  <c r="AG13" i="9" s="1"/>
  <c r="AG16" i="9" s="1"/>
  <c r="AH12" i="9" l="1"/>
  <c r="AI12" i="9" s="1"/>
  <c r="AH13" i="9" l="1"/>
  <c r="AH16" i="9" s="1"/>
  <c r="AI13" i="9"/>
  <c r="AI16" i="9" s="1"/>
  <c r="AJ12" i="9"/>
  <c r="AJ13" i="9" s="1"/>
  <c r="AJ16" i="9" s="1"/>
  <c r="AK12" i="9" l="1"/>
  <c r="AK13" i="9" s="1"/>
  <c r="AK16" i="9" s="1"/>
  <c r="AL12" i="9" l="1"/>
  <c r="AL13" i="9" s="1"/>
  <c r="AL16" i="9" s="1"/>
  <c r="AM12" i="9" l="1"/>
  <c r="AM13" i="9" s="1"/>
  <c r="AM16" i="9" s="1"/>
  <c r="AN12" i="9" l="1"/>
  <c r="AN13" i="9" s="1"/>
  <c r="AN16" i="9" s="1"/>
  <c r="AO12" i="9" l="1"/>
  <c r="AO13" i="9" s="1"/>
  <c r="AO16" i="9" s="1"/>
  <c r="AP12" i="9" l="1"/>
  <c r="AQ12" i="9" s="1"/>
  <c r="AP13" i="9" l="1"/>
  <c r="AP16" i="9" s="1"/>
  <c r="AQ13" i="9"/>
  <c r="AQ16" i="9" s="1"/>
  <c r="AR12" i="9"/>
  <c r="AR13" i="9" s="1"/>
  <c r="AR16" i="9" s="1"/>
  <c r="AS12" i="9" l="1"/>
  <c r="AT12" i="9" s="1"/>
  <c r="AT13" i="9" s="1"/>
  <c r="AT16" i="9" s="1"/>
  <c r="AS13" i="9" l="1"/>
  <c r="AS16" i="9" s="1"/>
  <c r="F2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15" authorId="0" shapeId="0" xr:uid="{D951635F-EA0A-504A-8937-F04E47E01E93}">
      <text>
        <r>
          <rPr>
            <sz val="15"/>
            <color rgb="FF000000"/>
            <rFont val="+mn-lt"/>
            <charset val="1"/>
          </rPr>
          <t xml:space="preserve">We recommend obtaining electric utility rates specific for your project so the Template produces accurate outputs. 
</t>
        </r>
        <r>
          <rPr>
            <sz val="15"/>
            <color rgb="FF000000"/>
            <rFont val="+mn-lt"/>
            <charset val="1"/>
          </rPr>
          <t xml:space="preserve">
</t>
        </r>
        <r>
          <rPr>
            <sz val="15"/>
            <color rgb="FF000000"/>
            <rFont val="+mn-lt"/>
            <charset val="1"/>
          </rPr>
          <t xml:space="preserve">If you have access to power bills for existing projects with the same rate schedule, you can calculate an average utility rate from those statements to use durign the initial design stages.  
</t>
        </r>
        <r>
          <rPr>
            <sz val="15"/>
            <color rgb="FF000000"/>
            <rFont val="+mn-lt"/>
            <charset val="1"/>
          </rPr>
          <t xml:space="preserve">
</t>
        </r>
        <r>
          <rPr>
            <sz val="15"/>
            <color rgb="FF000000"/>
            <rFont val="+mn-lt"/>
            <charset val="1"/>
          </rPr>
          <t xml:space="preserve">The placeholder value of $0.128 per kWh is based on a PCAH analysis of average 2023 electricity costs for our properties. </t>
        </r>
      </text>
    </comment>
    <comment ref="C16" authorId="0" shapeId="0" xr:uid="{40B310FE-31DC-B14F-9F1B-0A7730BE9E7F}">
      <text>
        <r>
          <rPr>
            <sz val="15"/>
            <color rgb="FF000000"/>
            <rFont val="+mn-lt"/>
            <charset val="1"/>
          </rPr>
          <t xml:space="preserve">The default value is 100% assuming Oregon utilities' net metering credit ratio of 1:1 for surplus kWh electricity uploaded to the grid from onsite solar PV.
</t>
        </r>
        <r>
          <rPr>
            <sz val="15"/>
            <color rgb="FF000000"/>
            <rFont val="+mn-lt"/>
            <charset val="1"/>
          </rPr>
          <t xml:space="preserve">
</t>
        </r>
        <r>
          <rPr>
            <sz val="15"/>
            <color rgb="FF000000"/>
            <rFont val="+mn-lt"/>
            <charset val="1"/>
          </rPr>
          <t>The credit ratio adjuster was added to the model in anticipation that net meter credits may change in the future. The template currently uses the adjuster for the net annual benefit calculation, applying this adjuster ratio to total renewable energy production. For a net meter credit ratio less than 1:1, the user will need to factor both the estimated percentage of surplus energy subject to net meter credits and the current net meter credit ratio to determine the correct percentage input.</t>
        </r>
      </text>
    </comment>
    <comment ref="C17" authorId="0" shapeId="0" xr:uid="{538546D6-8067-7947-B364-5D9F84FCB572}">
      <text>
        <r>
          <rPr>
            <sz val="15"/>
            <color rgb="FF000000"/>
            <rFont val="+mn-lt"/>
            <charset val="1"/>
          </rPr>
          <t xml:space="preserve">We recommend using natural gas utility rates specific for your project so the Template produces accurate outputs. Changes in the cost of energy can make a large difference in the long-term benefit of energy investments. If you have access to power bills for existing projects with the same expected rate schedule, you can calculate an average utility rate from those statements. Alternately, you can contact your utility company for rate information.
</t>
        </r>
        <r>
          <rPr>
            <sz val="15"/>
            <color rgb="FF000000"/>
            <rFont val="+mn-lt"/>
            <charset val="1"/>
          </rPr>
          <t xml:space="preserve">
</t>
        </r>
        <r>
          <rPr>
            <sz val="15"/>
            <color rgb="FF000000"/>
            <rFont val="+mn-lt"/>
            <charset val="1"/>
          </rPr>
          <t xml:space="preserve">The placeholder value of $0.128 per kWh is based on a PCAH analysis of past year average electricity costs for our properties.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7" authorId="0" shapeId="0" xr:uid="{B6E4BAF2-672E-7D4B-8BDD-CF7C6A25AF16}">
      <text>
        <r>
          <rPr>
            <sz val="15"/>
            <color rgb="FF000000"/>
            <rFont val="+mn-lt"/>
            <charset val="1"/>
          </rPr>
          <t>This is the difference between the cost of the proposed EEMs and the cost of code minimum measures, or the additional cost required for improved energy efficiency.</t>
        </r>
      </text>
    </comment>
    <comment ref="F7" authorId="0" shapeId="0" xr:uid="{23DA61A9-395C-6C44-A6E6-23AC49E8FB30}">
      <text>
        <r>
          <rPr>
            <sz val="15"/>
            <color rgb="FF000000"/>
            <rFont val="+mn-lt"/>
            <charset val="1"/>
          </rPr>
          <t>This is the incremental first cost of a measure per annual kWh energy saved. Energy savings in Therms has been converted to kWh and included.</t>
        </r>
      </text>
    </comment>
    <comment ref="E21" authorId="0" shapeId="0" xr:uid="{75BC06A3-DF06-844B-986B-9887D42FD332}">
      <text>
        <r>
          <rPr>
            <sz val="15"/>
            <color rgb="FF000000"/>
            <rFont val="+mn-lt"/>
            <charset val="1"/>
          </rPr>
          <t xml:space="preserve">This is the first cost of a renewable system per annual kWh energy produced. Energy savings in Therms has been converted to kWh and included.
</t>
        </r>
        <r>
          <rPr>
            <sz val="15"/>
            <color rgb="FF000000"/>
            <rFont val="+mn-lt"/>
            <charset val="1"/>
          </rPr>
          <t xml:space="preserve">
</t>
        </r>
        <r>
          <rPr>
            <sz val="15"/>
            <color rgb="FF000000"/>
            <rFont val="+mn-lt"/>
            <charset val="1"/>
          </rPr>
          <t xml:space="preserve">This metric offers a way to evaluate "bang for the buck".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F7" authorId="0" shapeId="0" xr:uid="{2C1547A4-E378-2A47-B9C0-AAF360588D10}">
      <text>
        <r>
          <rPr>
            <sz val="15"/>
            <color rgb="FF000000"/>
            <rFont val="+mn-lt"/>
            <charset val="1"/>
          </rPr>
          <t>This shows the incremental first costs, without incentives, divided by annual energy savings. Annual energy savings in Therms have been converted to kWh and included in the total energy savings.</t>
        </r>
      </text>
    </comment>
    <comment ref="G7" authorId="0" shapeId="0" xr:uid="{E1D1A8E5-4CC1-0749-906F-53FAFB59A9E7}">
      <text>
        <r>
          <rPr>
            <sz val="14"/>
            <color rgb="FF000000"/>
            <rFont val="Tahoma"/>
            <family val="2"/>
          </rPr>
          <t>Use the pull-down menu to select measures using the Yes/No options. Measures need to be selected "Yes" to include in the proposed project outputs.</t>
        </r>
      </text>
    </comment>
    <comment ref="J17" authorId="0" shapeId="0" xr:uid="{E741F77B-E2D4-1A43-8FC5-0B253057C0DB}">
      <text>
        <r>
          <rPr>
            <sz val="15"/>
            <color rgb="FF000000"/>
            <rFont val="+mn-lt"/>
            <charset val="1"/>
          </rPr>
          <t>These show the costs of all currently selected EEMs and renewables. EEMs use incremental first costs. Renewables use total system costs.</t>
        </r>
      </text>
    </comment>
    <comment ref="K17" authorId="0" shapeId="0" xr:uid="{3374B5D7-2483-A247-85EC-2ECC68CE1D71}">
      <text>
        <r>
          <rPr>
            <sz val="15"/>
            <color rgb="FF000000"/>
            <rFont val="+mn-lt"/>
            <charset val="1"/>
          </rPr>
          <t xml:space="preserve">First costs divided by the annual kWh saved or made, without incentives. Units of energy in Therms have been converted to kWh and included in total annual kWh.
</t>
        </r>
      </text>
    </comment>
    <comment ref="M17" authorId="0" shapeId="0" xr:uid="{214366E9-73FD-8641-995B-65C9F257CC4C}">
      <text>
        <r>
          <rPr>
            <sz val="15"/>
            <color rgb="FF000000"/>
            <rFont val="+mn-lt"/>
            <charset val="1"/>
          </rPr>
          <t xml:space="preserve">First Costs minus incentives, divided by the annual kWh saved or made. Units of energy in Therms have been converted to kWh and included in total annual kWh. </t>
        </r>
      </text>
    </comment>
    <comment ref="F22" authorId="0" shapeId="0" xr:uid="{2344A062-82FA-CC4D-BAFE-F64C0B0FDF4E}">
      <text>
        <r>
          <rPr>
            <sz val="15"/>
            <color rgb="FF000000"/>
            <rFont val="+mn-lt"/>
            <charset val="1"/>
          </rPr>
          <t xml:space="preserve">This shows the renewable system first costs, without incentives, divided by annual energy production. If a system has estimated annual energy production in Therms, it is converted to kWh and included in the total energy produced.
</t>
        </r>
      </text>
    </comment>
    <comment ref="G22" authorId="0" shapeId="0" xr:uid="{8D520C9F-72A0-E740-B8DD-805D30797116}">
      <text>
        <r>
          <rPr>
            <sz val="15"/>
            <color rgb="FF000000"/>
            <rFont val="+mn-lt"/>
            <charset val="1"/>
          </rPr>
          <t>Use the pull-down menu to select systems using the Yes/No options. A system needs to be selected "Yes" to be incorporated in the proposed project outputs.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G4" authorId="0" shapeId="0" xr:uid="{CE52BF5B-CF37-9645-9780-FFBE1A2B57ED}">
      <text>
        <r>
          <rPr>
            <sz val="14"/>
            <color rgb="FF000000"/>
            <rFont val="Calibri"/>
            <family val="34"/>
          </rPr>
          <t xml:space="preserve">Annual electric utility cost savings in the first year.
</t>
        </r>
      </text>
    </comment>
    <comment ref="G5" authorId="0" shapeId="0" xr:uid="{E4D9EAB5-233D-0F4B-A992-3C99F345C30C}">
      <text>
        <r>
          <rPr>
            <sz val="15"/>
            <color rgb="FF000000"/>
            <rFont val="+mn-lt"/>
            <charset val="1"/>
          </rPr>
          <t>Annual natural gas utility cost savings in the first year.</t>
        </r>
      </text>
    </comment>
    <comment ref="G6" authorId="0" shapeId="0" xr:uid="{687C5FED-FF3C-2C48-925E-45BA4C7765CD}">
      <text>
        <r>
          <rPr>
            <sz val="15"/>
            <color rgb="FF000000"/>
            <rFont val="+mn-lt"/>
            <charset val="1"/>
          </rPr>
          <t xml:space="preserve">Annual electric utility costs savings from renewable energy production in the first year. </t>
        </r>
      </text>
    </comment>
    <comment ref="C7" authorId="0" shapeId="0" xr:uid="{CB116E0F-8B03-C045-829D-D20F67036B22}">
      <text>
        <r>
          <rPr>
            <sz val="15"/>
            <color rgb="FF000000"/>
            <rFont val="+mn-lt"/>
            <charset val="1"/>
          </rPr>
          <t>We recommend updating this value with user-provided electric utility rates for your project. An average utility rate can be adapted from power bills for existing projects or from databases such as the EIA. The placeholder value of $0.128 per kWh is based on a PCAH past year analysis of average electricity costs under Pacific Power Schedule 35 Net Meter.</t>
        </r>
      </text>
    </comment>
    <comment ref="C8" authorId="0" shapeId="0" xr:uid="{5432D801-3E29-A04E-8A46-BB8350F649E5}">
      <text>
        <r>
          <rPr>
            <sz val="15"/>
            <color rgb="FF000000"/>
            <rFont val="+mn-lt"/>
            <charset val="1"/>
          </rPr>
          <t xml:space="preserve">The default is set at 100% based on an assumption of Oregon utilities' net metering credit ratio of 1:1 for surplus kWh electricity uploaded to the grid from onsite solar PV.
</t>
        </r>
        <r>
          <rPr>
            <sz val="15"/>
            <color rgb="FF000000"/>
            <rFont val="+mn-lt"/>
            <charset val="1"/>
          </rPr>
          <t xml:space="preserve">
</t>
        </r>
        <r>
          <rPr>
            <sz val="15"/>
            <color rgb="FF000000"/>
            <rFont val="+mn-lt"/>
            <charset val="1"/>
          </rPr>
          <t xml:space="preserve">The credit ratio adjuster was added to the model in anticipation that net meter credits will change in the future. The adjuster currently applies to </t>
        </r>
        <r>
          <rPr>
            <u/>
            <sz val="15"/>
            <color rgb="FF000000"/>
            <rFont val="+mn-lt"/>
            <charset val="1"/>
          </rPr>
          <t>total</t>
        </r>
        <r>
          <rPr>
            <sz val="15"/>
            <color rgb="FF000000"/>
            <rFont val="+mn-lt"/>
            <charset val="1"/>
          </rPr>
          <t xml:space="preserve"> renewable energy production when determining Net Annual Benefit since this was the simplest way to build the adjustment into the Template. If surplus energy is not credited at 1:1 under net meter agreements, the user will need to factor both the current net meter credit ratio and the percentage of surplus energy from the total renewable energy production receiving credits to determine the correct percentage to use in the adjuster.</t>
        </r>
      </text>
    </comment>
    <comment ref="C9" authorId="0" shapeId="0" xr:uid="{8A877711-D656-0A44-A4A7-12662D619CF4}">
      <text>
        <r>
          <rPr>
            <sz val="15"/>
            <color rgb="FF000000"/>
            <rFont val="Calibri"/>
            <family val="2"/>
          </rPr>
          <t xml:space="preserve">An average utility rate can be adapted from natural gas bills for existing projects or from databases such as the EIA. The placeholder value of $1.28 per Therm is based on a PCAH past year analysis of average natural gas costs under Cascade Natural Gas.
</t>
        </r>
      </text>
    </comment>
    <comment ref="F11" authorId="0" shapeId="0" xr:uid="{0380DEDD-164B-8748-AD01-E70447A9AEEB}">
      <text>
        <r>
          <rPr>
            <sz val="15"/>
            <color rgb="FF000000"/>
            <rFont val="+mn-lt"/>
            <charset val="1"/>
          </rPr>
          <t>This is the total first cost, or initial investment, for energy saving and making improvements to the proposed project. It should be compared directly to the present values below.</t>
        </r>
      </text>
    </comment>
    <comment ref="E13" authorId="0" shapeId="0" xr:uid="{963B119E-D51E-0541-B3D1-8F7636444FA3}">
      <text>
        <r>
          <rPr>
            <sz val="18"/>
            <color rgb="FF000000"/>
            <rFont val="Calibri"/>
            <family val="2"/>
          </rPr>
          <t>Break-Even may be hidden in the LCCA table if it occurs beyond year 6 because the table was condensed to fit on a single screen. The number of years to break-even can also be found in the NPVs table below.</t>
        </r>
      </text>
    </comment>
    <comment ref="E17" authorId="0" shapeId="0" xr:uid="{9AF9AEBF-1F4E-244E-BB10-94BDE25DC36A}">
      <text>
        <r>
          <rPr>
            <sz val="15"/>
            <color rgb="FF000000"/>
            <rFont val="+mn-lt"/>
            <charset val="1"/>
          </rPr>
          <t>Net present value (NPV) is the difference between the present value of cash inflows (benefits) and the present value of cash outflows (detriments) over a period of time. Net present value is used in capital budgeting and financial planning to analyze a project's projected profitability.</t>
        </r>
      </text>
    </comment>
    <comment ref="H17" authorId="0" shapeId="0" xr:uid="{87ACD87A-C839-1F44-AFE8-843740A8A2E7}">
      <text>
        <r>
          <rPr>
            <sz val="15"/>
            <color rgb="FF000000"/>
            <rFont val="+mn-lt"/>
            <charset val="1"/>
          </rPr>
          <t>This table summarizes a comparison between "Saving" versus "Making" energy. For PCAH's projects, these outputs indicated that once incentives were included there is a clear case for Solar PV providing a better return per dollar spent on making versus saving energy. This analysis led PCAH to prioritize how to maximize the Solar PV array from the very beginning of new projects.</t>
        </r>
      </text>
    </comment>
    <comment ref="C19" authorId="0" shapeId="0" xr:uid="{04CD6906-F61E-C84F-B437-3A4DA5813D97}">
      <text>
        <r>
          <rPr>
            <sz val="15"/>
            <color rgb="FF000000"/>
            <rFont val="+mn-lt"/>
            <charset val="1"/>
          </rPr>
          <t>The additional cost of all energy efficiency measures above code minimum.</t>
        </r>
      </text>
    </comment>
    <comment ref="C20" authorId="0" shapeId="0" xr:uid="{19E142C8-EA51-6547-9850-BEAE83505262}">
      <text>
        <r>
          <rPr>
            <sz val="15"/>
            <color rgb="FF000000"/>
            <rFont val="+mn-lt"/>
            <charset val="1"/>
          </rPr>
          <t>The total cost of renewable energy generating systems.</t>
        </r>
      </text>
    </comment>
    <comment ref="C25" authorId="0" shapeId="0" xr:uid="{398A16B9-6F41-A54E-81AB-9DAF0B59C86D}">
      <text>
        <r>
          <rPr>
            <sz val="12"/>
            <color rgb="FF000000"/>
            <rFont val="Tahoma"/>
            <family val="2"/>
          </rPr>
          <t xml:space="preserve">Based on CAGR 10-Year Historical Analysis. 
</t>
        </r>
        <r>
          <rPr>
            <sz val="12"/>
            <color rgb="FF000000"/>
            <rFont val="Tahoma"/>
            <family val="2"/>
          </rPr>
          <t xml:space="preserve">
</t>
        </r>
        <r>
          <rPr>
            <sz val="12"/>
            <color rgb="FF000000"/>
            <rFont val="Tahoma"/>
            <family val="2"/>
          </rPr>
          <t>This number must be held consistent between different LCCAs for valid comparisons.</t>
        </r>
      </text>
    </comment>
    <comment ref="C26" authorId="0" shapeId="0" xr:uid="{2B1F30DE-6AF7-E042-BCA2-DAEE52641446}">
      <text>
        <r>
          <rPr>
            <sz val="12"/>
            <color rgb="FF000000"/>
            <rFont val="Tahoma"/>
            <family val="2"/>
          </rPr>
          <t>Discount Rate: Market-driven, held steady for all systems.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<sst xmlns="http://schemas.openxmlformats.org/spreadsheetml/2006/main" count="278" uniqueCount="222">
  <si>
    <t>Color Code</t>
  </si>
  <si>
    <t>"Save It" And "Make It" Template</t>
  </si>
  <si>
    <t>User inputs</t>
  </si>
  <si>
    <t>Auto-filled from worksheets</t>
  </si>
  <si>
    <t>Introduction</t>
  </si>
  <si>
    <t>Calculated results</t>
  </si>
  <si>
    <t xml:space="preserve">This template was created by Pacific Crest Affordable Housing (PCAH) with support from a Net Zero Fellowship research grant by Energy Trust of Oregon. PCAH adapted this template from an internal spreadsheet developed over the course of multiple projects as a tool to help quantify the long-term value of investments in renewable energy and energy efficiency measures (EEMs). The original spreadsheet helped PCAH earn financial support for additional spending on energy efficiency and renewable energy systems and compare investments in making versus saving energy. Through Energy Trust's Net Zero Fellowship program, PCAH is sharing the template based on feedback that the demonstrated approach may be of value and interest to developers, architects and other professionals involved in creating new multifamily affordable housing. </t>
  </si>
  <si>
    <t>Default assumptions</t>
  </si>
  <si>
    <t>Instructions</t>
  </si>
  <si>
    <t xml:space="preserve">The template was designed from a developer perspective and intended for use with new construction affordable multifamily housing projects in Oregon. It requires estimated energy, cost and incentive information for all proposed EEMs and renewable systems as inputs. The necessary information is typically acquired or available through the development process by working with members of your project team, energy incentive programs and other industry resources. PCAH has included recommendations based on our experience and research through the Net Zero Fellowship for obtaining the necessary information, including "good enough" energy and cost estimates, to utilize the template.
The template is organized so the user can progress through the worksheets sequentially, entering information for energy, costs and incentives. In some places, example information has been entered to provide guidance but needs to be overwritten for a new analysis. Once all required information is entered, the proposed measures and renewable systems need to be selected using the Measure Selection tab for inclusion in the energy and financial outputs. The final Output Dashboard tab summarizes key inputs and performs a life-cycle cost analysis and net present value calculations. </t>
  </si>
  <si>
    <t>Summary of Required Inputs</t>
  </si>
  <si>
    <t>Energy Worksheet</t>
  </si>
  <si>
    <t>Costs Worksheet</t>
  </si>
  <si>
    <t>• Project Name</t>
  </si>
  <si>
    <t>• Estimated Construction Costs for Code Minimum Measures</t>
  </si>
  <si>
    <t>• Total Building Square Footage</t>
  </si>
  <si>
    <t>• Estimated Construction Costs for Individual EEMs</t>
  </si>
  <si>
    <t xml:space="preserve">• Estimated Baseline (Code Minimum) Annual Energy Usage
</t>
  </si>
  <si>
    <t>• Estimated Renewable Energy System Costs</t>
  </si>
  <si>
    <t xml:space="preserve">• Proposed Energy Efficiency Measures (EEMs)
</t>
  </si>
  <si>
    <t>Incentives Worksheet</t>
  </si>
  <si>
    <t>• Estimated Energy Savings per EEM</t>
  </si>
  <si>
    <t>• Estimated Incentives for Energy Efficiency Measures</t>
  </si>
  <si>
    <t>• Cost of Energy (Electric and Natural Gas Utility Rates)</t>
  </si>
  <si>
    <t>• Estimated Incentives for Renewables</t>
  </si>
  <si>
    <t>• Estimated Annual Renewable Energy Production</t>
  </si>
  <si>
    <t>Summary of Outputs</t>
  </si>
  <si>
    <t>Energy Outputs</t>
  </si>
  <si>
    <t>Financial Outputs</t>
  </si>
  <si>
    <t>• Estimated Total Energy Savings</t>
  </si>
  <si>
    <t>• Cost per kWh Energy Saved or Made</t>
  </si>
  <si>
    <t>• Estimated Total Renewable Energy Production</t>
  </si>
  <si>
    <t>• Life-Cycle Cost Analysis (40-year)</t>
  </si>
  <si>
    <t>• Energy Use Intensity</t>
  </si>
  <si>
    <t>• Net Present Value at 20, 30 and 40 years</t>
  </si>
  <si>
    <r>
      <t>Disclaimer:</t>
    </r>
    <r>
      <rPr>
        <i/>
        <sz val="16"/>
        <color theme="1"/>
        <rFont val="Calibri"/>
        <family val="2"/>
      </rPr>
      <t xml:space="preserve"> Pacific Crest Affordable Housing accepts no responsibility or liability for the information entered by the user, the accuracy of the spreadsheet’s calculations and outputs, or the energy performance of projects which utilize the template as a design tool. </t>
    </r>
  </si>
  <si>
    <t>Glossary of Terms</t>
  </si>
  <si>
    <t>Code Minimum</t>
  </si>
  <si>
    <r>
      <rPr>
        <b/>
        <sz val="15"/>
        <color theme="1"/>
        <rFont val="Calibri"/>
        <family val="2"/>
      </rPr>
      <t>Code minimum</t>
    </r>
    <r>
      <rPr>
        <sz val="15"/>
        <color theme="1"/>
        <rFont val="Calibri"/>
        <family val="2"/>
      </rPr>
      <t xml:space="preserve"> refers to the minimum requirements for the design and construction of a building to ensure safety and resilience and comply with applicable building energy codes. We recommend using a version of a project with code minimum measures to calculate the baseline costs and baseline energy usage of a project. </t>
    </r>
  </si>
  <si>
    <t>Discount Rate</t>
  </si>
  <si>
    <r>
      <rPr>
        <b/>
        <sz val="15"/>
        <color theme="1"/>
        <rFont val="Calibri"/>
        <family val="2"/>
      </rPr>
      <t>Discount rate</t>
    </r>
    <r>
      <rPr>
        <sz val="15"/>
        <color theme="1"/>
        <rFont val="Calibri"/>
        <family val="2"/>
      </rPr>
      <t xml:space="preserve"> is the rate of interest that is used to discount all future cash flows of an investment to derive its net present value (NPV). This accounts for the time value of money (i.e. its potential to earn future interest or returns).</t>
    </r>
  </si>
  <si>
    <t>Energy Cost Inflation Adjuster</t>
  </si>
  <si>
    <t>The energy cost inflation adjuster provides a way to account for changes to the cost of energy over the duration of the life-cycle cost analysis. It is based on compound annual growth rate (CAGR) 10-Year Historical Analysis. We recommend updating this figure on an annual basis.</t>
  </si>
  <si>
    <t>Energy Efficiency Measure (EEM)</t>
  </si>
  <si>
    <r>
      <rPr>
        <b/>
        <sz val="15"/>
        <color theme="1"/>
        <rFont val="Calibri"/>
        <family val="2"/>
      </rPr>
      <t>Energy efficiency measures (EEMs)</t>
    </r>
    <r>
      <rPr>
        <sz val="15"/>
        <color theme="1"/>
        <rFont val="Calibri"/>
        <family val="2"/>
      </rPr>
      <t xml:space="preserve"> include any equipment, materials and systems that improve a building's energy performance. These are typically organized into categories including the building envelope, HVAC, domestic hot water, lighting and appliances.</t>
    </r>
  </si>
  <si>
    <t>Energy Use Intensity (EUI)</t>
  </si>
  <si>
    <r>
      <rPr>
        <b/>
        <sz val="15"/>
        <color theme="1"/>
        <rFont val="Calibri"/>
        <family val="2"/>
      </rPr>
      <t xml:space="preserve">Energy use intensity (EUI) </t>
    </r>
    <r>
      <rPr>
        <sz val="15"/>
        <color theme="1"/>
        <rFont val="Calibri"/>
        <family val="2"/>
      </rPr>
      <t xml:space="preserve">refers to the amount of energy used per square foot annually, measured as kbtu per square foot per year (kbtu/sq ft/yr). A lower EUI score is considered better. There are generally two types of EUI used to measure a building's overall energy consumption: </t>
    </r>
    <r>
      <rPr>
        <b/>
        <sz val="15"/>
        <color theme="1"/>
        <rFont val="Calibri"/>
        <family val="2"/>
      </rPr>
      <t>site</t>
    </r>
    <r>
      <rPr>
        <sz val="15"/>
        <color theme="1"/>
        <rFont val="Calibri"/>
        <family val="2"/>
      </rPr>
      <t xml:space="preserve"> and </t>
    </r>
    <r>
      <rPr>
        <b/>
        <sz val="15"/>
        <color theme="1"/>
        <rFont val="Calibri"/>
        <family val="2"/>
      </rPr>
      <t>source</t>
    </r>
    <r>
      <rPr>
        <sz val="15"/>
        <color theme="1"/>
        <rFont val="Calibri"/>
        <family val="2"/>
      </rPr>
      <t xml:space="preserve">. </t>
    </r>
    <r>
      <rPr>
        <b/>
        <sz val="15"/>
        <color theme="1"/>
        <rFont val="Calibri"/>
        <family val="2"/>
      </rPr>
      <t>Site EUI</t>
    </r>
    <r>
      <rPr>
        <sz val="15"/>
        <color theme="1"/>
        <rFont val="Calibri"/>
        <family val="2"/>
      </rPr>
      <t xml:space="preserve"> is the amount of energy consumed at the building site and reflected in the property's utility bills. </t>
    </r>
    <r>
      <rPr>
        <b/>
        <sz val="15"/>
        <color theme="1"/>
        <rFont val="Calibri"/>
        <family val="2"/>
      </rPr>
      <t>Source EUI</t>
    </r>
    <r>
      <rPr>
        <sz val="15"/>
        <color theme="1"/>
        <rFont val="Calibri"/>
        <family val="2"/>
      </rPr>
      <t xml:space="preserve"> includes energy lost in the production, transmission and delivery of energy to the property and is a measure of the total energy required to service the property. The template calculates </t>
    </r>
    <r>
      <rPr>
        <b/>
        <sz val="15"/>
        <color theme="1"/>
        <rFont val="Calibri"/>
        <family val="2"/>
      </rPr>
      <t>site EUI</t>
    </r>
    <r>
      <rPr>
        <sz val="15"/>
        <color theme="1"/>
        <rFont val="Calibri"/>
        <family val="2"/>
      </rPr>
      <t xml:space="preserve"> as a measure of building energy performance. Annual energy end uses or savings estimates can also be put into an EUI form as a method for understanding how different energy uses and savings are related.</t>
    </r>
  </si>
  <si>
    <t>Incremental Cost</t>
  </si>
  <si>
    <r>
      <rPr>
        <b/>
        <sz val="15"/>
        <color theme="1"/>
        <rFont val="Calibri"/>
        <family val="2"/>
      </rPr>
      <t>Incremental cost</t>
    </r>
    <r>
      <rPr>
        <sz val="15"/>
        <color theme="1"/>
        <rFont val="Calibri"/>
        <family val="2"/>
      </rPr>
      <t xml:space="preserve"> represents the additional cost required for more energy-efficient systems, materials, and equipment above the costs for baseline systems, materials and equipment. The template calculates this for EEMs using baseline costs and proposed EEM costs. The template assumes the entire cost of a renewable energy system is the incremental cost.</t>
    </r>
  </si>
  <si>
    <t>Life Cycle Cost Analysis (LCCA)</t>
  </si>
  <si>
    <r>
      <rPr>
        <b/>
        <sz val="15"/>
        <color theme="1"/>
        <rFont val="Calibri"/>
        <family val="2"/>
      </rPr>
      <t xml:space="preserve">Life cycle cost analysis (LCCA) </t>
    </r>
    <r>
      <rPr>
        <sz val="15"/>
        <color theme="1"/>
        <rFont val="Calibri"/>
        <family val="2"/>
      </rPr>
      <t>is a method of assessing the total cost of ownership of a project or entity. It is especially useful when evaluating different project alternatives in order to maximize financial performance.</t>
    </r>
  </si>
  <si>
    <t>Net EUI</t>
  </si>
  <si>
    <r>
      <rPr>
        <b/>
        <sz val="15"/>
        <color theme="1"/>
        <rFont val="Calibri"/>
        <family val="2"/>
      </rPr>
      <t xml:space="preserve">Net EUI, </t>
    </r>
    <r>
      <rPr>
        <sz val="15"/>
        <color theme="1"/>
        <rFont val="Calibri"/>
        <family val="2"/>
      </rPr>
      <t xml:space="preserve">or net energy use intensity, considers renewable energy production as part of a building's total EUI. It is the amount of energy used per square foot annually, measured as kbtu per square foot per year (kbtu/sq ft/yr), minus the amount of renewable energy generated per square foot annually, measured as kbtu per square foot per year (kbtu/sq ft/yr). </t>
    </r>
  </si>
  <si>
    <t>Net Present Value (NPV)</t>
  </si>
  <si>
    <r>
      <rPr>
        <b/>
        <sz val="15"/>
        <color theme="1"/>
        <rFont val="Calibri"/>
        <family val="2"/>
      </rPr>
      <t>Net present value (NPV)</t>
    </r>
    <r>
      <rPr>
        <sz val="15"/>
        <color theme="1"/>
        <rFont val="Calibri"/>
        <family val="2"/>
      </rPr>
      <t xml:space="preserve"> is the difference between the present value of cash inflows (benefits) and the present value of cash outflows (detriments) over a period of time. NPV is used in capital budgeting and financial planning to analyze a project's projected profitability.</t>
    </r>
  </si>
  <si>
    <t xml:space="preserve">Units of Energy
</t>
  </si>
  <si>
    <r>
      <t>kWh:</t>
    </r>
    <r>
      <rPr>
        <sz val="15"/>
        <color theme="1"/>
        <rFont val="Calibri"/>
        <family val="2"/>
      </rPr>
      <t xml:space="preserve"> kilowatt hour</t>
    </r>
    <r>
      <rPr>
        <b/>
        <sz val="15"/>
        <color theme="1"/>
        <rFont val="Calibri"/>
        <family val="2"/>
      </rPr>
      <t xml:space="preserve">
kBTU: </t>
    </r>
    <r>
      <rPr>
        <sz val="15"/>
        <color theme="1"/>
        <rFont val="Calibri"/>
        <family val="2"/>
      </rPr>
      <t>a unit of energy equivalent to 1,000 British thermal units (BTUs)</t>
    </r>
    <r>
      <rPr>
        <b/>
        <sz val="15"/>
        <color theme="1"/>
        <rFont val="Calibri"/>
        <family val="2"/>
      </rPr>
      <t xml:space="preserve">
therm: </t>
    </r>
    <r>
      <rPr>
        <sz val="15"/>
        <color theme="1"/>
        <rFont val="Calibri"/>
        <family val="2"/>
      </rPr>
      <t>a unit of energy equivalent to 100,000 British thermal units, or 100 kBTUs</t>
    </r>
  </si>
  <si>
    <t>Getting Started</t>
  </si>
  <si>
    <r>
      <rPr>
        <b/>
        <u/>
        <sz val="15"/>
        <color theme="1"/>
        <rFont val="Calibri"/>
        <family val="2"/>
      </rPr>
      <t>Instructions:</t>
    </r>
    <r>
      <rPr>
        <sz val="15"/>
        <color theme="1"/>
        <rFont val="Calibri"/>
        <family val="2"/>
      </rPr>
      <t xml:space="preserve"> Enter the name and square footage of the proposed project in the General Information section below to get started. The square footage is required by the template for energy use intensity (EUI) calculations.
Once general project information is entered, proceed to the Energy, Costs and Incentives worksheets. The worksheets contain example inputs to be overwritten with project-specific information.
The </t>
    </r>
    <r>
      <rPr>
        <b/>
        <sz val="15"/>
        <color theme="1"/>
        <rFont val="Calibri"/>
        <family val="2"/>
      </rPr>
      <t>Annual Energy Calculator</t>
    </r>
    <r>
      <rPr>
        <sz val="15"/>
        <color theme="1"/>
        <rFont val="Calibri"/>
        <family val="2"/>
      </rPr>
      <t xml:space="preserve"> (to the right) was part of the original PCAH spreadsheet and we have included it on this worksheet as an optional resource. It is a stand-alone tool and not required to use the Template. It calculates annual energy consumption from EUI. To use the calculator, enter an EUI and see the corresponding annual energy usage based on the total proposed building square footage. The calculator also allows the user to divide an EUI between electricity (kWh) and therms (gas) based on a user-defined percentage. Experimenting with different EUIs and square footages can build an understanding of the relationship between these figures and energy use totals.</t>
    </r>
  </si>
  <si>
    <t>Annual Energy Calculator</t>
  </si>
  <si>
    <t>Energy Use Intensity (kBTU/sq ft/year)</t>
  </si>
  <si>
    <t>Enter EUI here</t>
  </si>
  <si>
    <t>Total Building Square Footage (sq ft)</t>
  </si>
  <si>
    <t>Total Annual Energy (kWh)</t>
  </si>
  <si>
    <t>General Project Information</t>
  </si>
  <si>
    <t>Percentage Natural Gas Consumption of Total Energy</t>
  </si>
  <si>
    <t>Project Name</t>
  </si>
  <si>
    <t>Enter name of project</t>
  </si>
  <si>
    <t>Building Annual Electricity (kWh)</t>
  </si>
  <si>
    <t>Enter total building square footage</t>
  </si>
  <si>
    <t>Building Natural Gas (Therms)</t>
  </si>
  <si>
    <t>Worksheet #1 - Energy Savings and Renewable Energy Estimates</t>
  </si>
  <si>
    <r>
      <rPr>
        <b/>
        <u/>
        <sz val="15"/>
        <color theme="1"/>
        <rFont val="Calibri"/>
        <family val="2"/>
      </rPr>
      <t>Instructions:</t>
    </r>
    <r>
      <rPr>
        <sz val="15"/>
        <color theme="1"/>
        <rFont val="Calibri"/>
        <family val="2"/>
      </rPr>
      <t xml:space="preserve">  This worksheet accepts basic project and detailed measure and energy information required for the template. Required energy information includes utility rates, estimated baseline annual energy usage, estimated savings for proposed EEMs and estimated annual production for proposed renewable energy systems. If alternative options for EEMs or renewables are being considered, each option can be entered along with its estimated energy savings and later compared using the Measure Selection tool.
</t>
    </r>
    <r>
      <rPr>
        <u/>
        <sz val="15"/>
        <color theme="1"/>
        <rFont val="Calibri"/>
        <family val="2"/>
      </rPr>
      <t>Utility Rates:</t>
    </r>
    <r>
      <rPr>
        <sz val="15"/>
        <color theme="1"/>
        <rFont val="Calibri"/>
        <family val="2"/>
      </rPr>
      <t xml:space="preserve"> The cost of energy has a significant impact on the long-term benefits of energy investments. We recommend obtaining and entering utility rates specific for your project so the template produces accurate outputs. During the initial design stages, utility bills from previous similar projects can be used to calculate an average utility rate or you can seek other industry resources that provide average utility rates for your location.</t>
    </r>
    <r>
      <rPr>
        <u/>
        <sz val="15"/>
        <color theme="1"/>
        <rFont val="Calibri"/>
        <family val="2"/>
      </rPr>
      <t xml:space="preserve">
</t>
    </r>
    <r>
      <rPr>
        <sz val="15"/>
        <color theme="1"/>
        <rFont val="Calibri"/>
        <family val="2"/>
      </rPr>
      <t xml:space="preserve">
</t>
    </r>
    <r>
      <rPr>
        <u/>
        <sz val="15"/>
        <color theme="1"/>
        <rFont val="Calibri"/>
        <family val="2"/>
      </rPr>
      <t>EEMS:</t>
    </r>
    <r>
      <rPr>
        <sz val="15"/>
        <color theme="1"/>
        <rFont val="Calibri"/>
        <family val="2"/>
      </rPr>
      <t xml:space="preserve"> At the initial stages of a project, engineering calculations and/or energy modeling software can provide baseline energy usage and energy savings estimates. Work with members of your project team, an energy consultant or industry resources to acquire the necessary energy estimates and enter the information into the green cells below (1, 2). See footnotes below for alternate methods to calculate baseline and proposed building annual energy usage if estimates from energy modeling and/or engineering calculations are unavailable (3).
</t>
    </r>
    <r>
      <rPr>
        <u/>
        <sz val="15"/>
        <color theme="1"/>
        <rFont val="Calibri"/>
        <family val="2"/>
      </rPr>
      <t>Renewables:</t>
    </r>
    <r>
      <rPr>
        <sz val="15"/>
        <color theme="1"/>
        <rFont val="Calibri"/>
        <family val="2"/>
      </rPr>
      <t xml:space="preserve"> For proposed renewable energy systems, energy production estimates based on system type, size and design should be available through your contractor and/or engineer. We strongly recommend NREL's PV Watts tool to estimate solar PV production. </t>
    </r>
  </si>
  <si>
    <t>PV Watts website:</t>
  </si>
  <si>
    <t>https://pvwatts.nrel.gov/</t>
  </si>
  <si>
    <t>Baseline Building Energy Usage*</t>
  </si>
  <si>
    <t>Energy Efficiency Measures (EEMs)</t>
  </si>
  <si>
    <t>kWh saved</t>
  </si>
  <si>
    <t>Therms saved</t>
  </si>
  <si>
    <t>Renewable Energy Systems</t>
  </si>
  <si>
    <t>kWh Produced</t>
  </si>
  <si>
    <t>Therms Produced</t>
  </si>
  <si>
    <t>Baseline Building Annual Electricity  (kWh)</t>
  </si>
  <si>
    <t>Example: Attic Insulation R-60</t>
  </si>
  <si>
    <t>Example: Solar PV System</t>
  </si>
  <si>
    <t>Baseline Building Annual Natural Gas  (Therms)</t>
  </si>
  <si>
    <t>Example: LED Lighting &amp; Controls</t>
  </si>
  <si>
    <t>Baseline Building EUI  (kBTU / sq ft / yr)</t>
  </si>
  <si>
    <t>Example: ENERGY STAR Appliances</t>
  </si>
  <si>
    <t>*PCAH recommends Oregon Code Minimum (OCM) to calculate baseline energy</t>
  </si>
  <si>
    <t>Cost of Energy</t>
  </si>
  <si>
    <t>Electric Utility Rate ($/kWh)</t>
  </si>
  <si>
    <t>Net Meter Credit Ratio Adjuster (%)</t>
  </si>
  <si>
    <t>Natural Gas Utility Rate ($/Therm)</t>
  </si>
  <si>
    <t xml:space="preserve">
</t>
  </si>
  <si>
    <r>
      <rPr>
        <u/>
        <sz val="15"/>
        <color theme="1"/>
        <rFont val="Calibri"/>
        <family val="2"/>
      </rPr>
      <t>Notes:</t>
    </r>
    <r>
      <rPr>
        <sz val="15"/>
        <color theme="1"/>
        <rFont val="Calibri"/>
        <family val="2"/>
      </rPr>
      <t xml:space="preserve">
1) Energy incentive programs may require energy modeling and also include resources for participants. Energy Trust offers incentives to offset costs for energy modeling and may offer additional support during the initial design stages among other new building incentives. 
2) When engaging an energy consultant or modeler for energy estimates, we recommend asking questions about their methods, assumptions and tools (e.g. software) and being transparent about how you plan to use the information provided. There are different tools and approaches with different strengths and weaknesses; for instance, building energy models can be used to satisfy code compliance purposes, test alternate efficient design options and be used to inform energy savings incentive applications. Proactive communication increases the likelihood of obtaining useful and "good enough" modeling results.
3) Zero Code and Zero Tool are additional resources which can provide baseline and proposed building energy usage estimates from user-provided information. They can be used as a reference or a way to get started if energy modeling and engineering calculations are unavailable. Users should note that Zero Tool relies on older 2003 CBECS survey data to source EUI figures.</t>
    </r>
  </si>
  <si>
    <t>Zero Code website:</t>
  </si>
  <si>
    <t>https://www.zero-code.org/energy-calculator/</t>
  </si>
  <si>
    <t>Zero Tool website:</t>
  </si>
  <si>
    <t>https://www.zerotool.org/zerotool/</t>
  </si>
  <si>
    <t>Worksheet #2 - EEM Incremental Costs &amp; Renewables Costs</t>
  </si>
  <si>
    <r>
      <rPr>
        <b/>
        <u/>
        <sz val="15"/>
        <color theme="1"/>
        <rFont val="Calibri"/>
        <family val="2"/>
      </rPr>
      <t>Instructions:</t>
    </r>
    <r>
      <rPr>
        <sz val="15"/>
        <color theme="1"/>
        <rFont val="Calibri"/>
        <family val="2"/>
      </rPr>
      <t xml:space="preserve"> This worksheet accepts estimated cost inputs for proposed EEMs and renewable energy systems. The worksheet uses estimated baseline measure and proposed EEM costs to calculate the incremental cost of energy efficiency measures (EEMs). Early in the development process, initial cost estimates can be taken from past project costs, provided by your contractor or obtained using cost databases such as RSMeans (1). We believe that the best opportunity to obtain accurate cost estimates occurs during the "bid day" process managed by the general contractor (2). Cost estimates can be revised as the project moves through stages of development and better information becomes available.</t>
    </r>
  </si>
  <si>
    <t>Incremental Cost Inputs</t>
  </si>
  <si>
    <t>Cost per kWH Measure Ranking (Without Incentives)</t>
  </si>
  <si>
    <t>Baseline Measure Costs</t>
  </si>
  <si>
    <t>Proposed 
EEM Costs</t>
  </si>
  <si>
    <t>Incremental 
EEM Costs</t>
  </si>
  <si>
    <t>1st Cost per kWh Saved (Without Incentives)</t>
  </si>
  <si>
    <t>Rank</t>
  </si>
  <si>
    <t>Measure Name</t>
  </si>
  <si>
    <t>Cost per kWh Saved/Made</t>
  </si>
  <si>
    <t>Renewable Energy System Costs</t>
  </si>
  <si>
    <t>Renewable Energy System</t>
  </si>
  <si>
    <t>System Cost</t>
  </si>
  <si>
    <t>Cost per kWh Produced 
(Without Incentives)</t>
  </si>
  <si>
    <r>
      <rPr>
        <u/>
        <sz val="15"/>
        <color theme="1"/>
        <rFont val="Calibri"/>
        <family val="2"/>
      </rPr>
      <t xml:space="preserve">Notes:
</t>
    </r>
    <r>
      <rPr>
        <sz val="15"/>
        <color theme="1"/>
        <rFont val="Calibri"/>
        <family val="2"/>
      </rPr>
      <t xml:space="preserve">1) RSMeans is a national cost database that can be used to estimate costs based on historical and local data. The online version may offer a free trial for new subscribers. </t>
    </r>
  </si>
  <si>
    <t xml:space="preserve">RS Means website: </t>
  </si>
  <si>
    <t>https://www.rsmeans.com/</t>
  </si>
  <si>
    <t xml:space="preserve">2) For the most accurate incremental and system cost estimates, we recommend working with your general contractor as part of "bid day" to obtain code minimum measure estimates alongside final bids for the proposed project. The "bid day" process typically takes place when construction documents are roughly at 90% completion. Prior to that point, cost estimates will need to utilize other sources such as "best guess" estimates from your contractor, cost databases, industry guidelines and past project costs. </t>
  </si>
  <si>
    <t>Worksheet #3 - Project Incentives</t>
  </si>
  <si>
    <r>
      <rPr>
        <b/>
        <u/>
        <sz val="15"/>
        <color theme="1"/>
        <rFont val="Calibri"/>
        <family val="2"/>
      </rPr>
      <t>Instructions:</t>
    </r>
    <r>
      <rPr>
        <sz val="15"/>
        <color theme="1"/>
        <rFont val="Calibri"/>
        <family val="2"/>
      </rPr>
      <t xml:space="preserve"> This worksheet accepts financial incentives for energy efficiency and renewable energy to include in the model's analysis. Work with federal, state and local agencies to find out what incentives are currently available as grants, loans and tax incentives for energy efficiency and renewable energy (1). A helpful national resource for current incentive information is the DSIRE database (link below). Once you identify incentive opportunities, funding organizations typically offer a methodology for estimating the incentive value your project may be eligible to receive. Enter the estimated incentive amounts into the tables below. 
</t>
    </r>
  </si>
  <si>
    <t>DSIRE incentive database:</t>
  </si>
  <si>
    <t>https://www.dsireusa.org/</t>
  </si>
  <si>
    <t>Energy Efficiency Incentives</t>
  </si>
  <si>
    <t>Renewable Energy Incentives</t>
  </si>
  <si>
    <t>Incentive Name</t>
  </si>
  <si>
    <t>Amount</t>
  </si>
  <si>
    <t>Example: Energy Trust of Oregon - New Building</t>
  </si>
  <si>
    <t>Example: Energy Trust - Solar PV</t>
  </si>
  <si>
    <t>Example: Federal Investment Tax Credit</t>
  </si>
  <si>
    <t>Total Energy Efficiency Incentives</t>
  </si>
  <si>
    <t>Total Renewable Energy Incentives</t>
  </si>
  <si>
    <r>
      <rPr>
        <u/>
        <sz val="15"/>
        <color theme="1"/>
        <rFont val="Calibri"/>
        <family val="2"/>
      </rPr>
      <t>Notes:</t>
    </r>
    <r>
      <rPr>
        <sz val="15"/>
        <color theme="1"/>
        <rFont val="Calibri"/>
        <family val="2"/>
      </rPr>
      <t xml:space="preserve">
1) The Oregon Multifamily Energy Program (OR-MEP) and Energy Trust's commercial buildings incentives are a good place to start for energy incentives for new affordable multifamily housing projects in Oregon.</t>
    </r>
  </si>
  <si>
    <t>Oregon Multifamily Energy Program (OR-MEP):</t>
  </si>
  <si>
    <t>https://oregonmultifamilyenergy.com/</t>
  </si>
  <si>
    <t>Energy Trust of Oregon - New Construction:</t>
  </si>
  <si>
    <t>https://www.energytrust.org/programs/new-construction-major-renovations/</t>
  </si>
  <si>
    <t>Measure Selection Tool</t>
  </si>
  <si>
    <r>
      <t>Instructions:</t>
    </r>
    <r>
      <rPr>
        <b/>
        <sz val="15"/>
        <color theme="1"/>
        <rFont val="Calibri"/>
        <family val="2"/>
      </rPr>
      <t xml:space="preserve"> </t>
    </r>
    <r>
      <rPr>
        <sz val="15"/>
        <color theme="1"/>
        <rFont val="Calibri"/>
        <family val="2"/>
      </rPr>
      <t>Select EEMs and renewables to include in the proposed project analysis by selecting "Yes" or "No" in the Include Measure column. The worksheet will automatically calculate outputs based on the selected measures and populate the Output Dashboard tab. This tool is designed to allow the user to compare and evaluate measures individually, in combination and against alternative measures and systems for their energy and financial impacts (1).</t>
    </r>
  </si>
  <si>
    <t>Yes</t>
  </si>
  <si>
    <t>No</t>
  </si>
  <si>
    <t>Energy Efficiency Measures (EEMs) Selection</t>
  </si>
  <si>
    <t>kWh Saved</t>
  </si>
  <si>
    <t>Therms Saved</t>
  </si>
  <si>
    <t>Cost per kWh Saved*</t>
  </si>
  <si>
    <t>Include Measure 
(Select Yes/No)</t>
  </si>
  <si>
    <t>Incremental Costs and Annual Energy w/ Selected Measures</t>
  </si>
  <si>
    <t>Electricity (kWh)</t>
  </si>
  <si>
    <t>Natural Gas (Therms)</t>
  </si>
  <si>
    <t>EUI</t>
  </si>
  <si>
    <t>% Baseline</t>
  </si>
  <si>
    <t>Baseline (Code Minimum) Project</t>
  </si>
  <si>
    <t>Proposed Energy Savings and Offsets From Baseline</t>
  </si>
  <si>
    <t>"Save Its" (EEMs)</t>
  </si>
  <si>
    <t>"Make Its" (Renewables)</t>
  </si>
  <si>
    <t>Total Energy Savings &amp; Offsets</t>
  </si>
  <si>
    <t>"Make Its" and "Save Its"
Cost per kWh</t>
  </si>
  <si>
    <t>Without Incentives</t>
  </si>
  <si>
    <t>With Incentives*</t>
  </si>
  <si>
    <t>1st Costs</t>
  </si>
  <si>
    <t xml:space="preserve"> $ per kWh</t>
  </si>
  <si>
    <t>$ per kWh</t>
  </si>
  <si>
    <t>Totals w/ Selected EEMs</t>
  </si>
  <si>
    <t>Combined "Make Its" &amp; "Save Its"</t>
  </si>
  <si>
    <t>Renewable Energy Systems Selection</t>
  </si>
  <si>
    <t>* Incentives can be entered on the Incentives Worksheet tab</t>
  </si>
  <si>
    <t>Cost per kWh Made</t>
  </si>
  <si>
    <t>Include System 
(Select Yes/No)</t>
  </si>
  <si>
    <t>Unit Conversions</t>
  </si>
  <si>
    <t>Conversion 1 kBTU --&gt; kWhs</t>
  </si>
  <si>
    <t>Conversion 1 therm --&gt; kBTU</t>
  </si>
  <si>
    <t>Conversion 1 therm --&gt; kWhs</t>
  </si>
  <si>
    <t>Totals w/ Selected Renewables</t>
  </si>
  <si>
    <r>
      <t xml:space="preserve">Notes: 
</t>
    </r>
    <r>
      <rPr>
        <sz val="15"/>
        <rFont val="Calibri"/>
        <family val="2"/>
      </rPr>
      <t xml:space="preserve">1) Projected energy and financial impacts assume that energy savings and production estimates are based on accurate assumptions (e.g., occupancy characteristics, control settings) and that the EEMs and renewable systems are performing as designed. Testing and verifying EEMs after installation helps to mitigate construction defects and installation errors. Attention also needs to be paid once a project has opened, including occupant and maintenance education, as well as with systems monitoring and oversight for EEMs and renewables. Systems that self-monitor and alert staff when outages or issues occur reduce the response time for repairs and help maintain optimal energy performance. </t>
    </r>
  </si>
  <si>
    <t>Summary of Inputs</t>
  </si>
  <si>
    <r>
      <t xml:space="preserve">Model Outputs
</t>
    </r>
    <r>
      <rPr>
        <sz val="12"/>
        <color theme="1"/>
        <rFont val="Calibri"/>
        <family val="2"/>
      </rPr>
      <t>Template Version 10/18/24</t>
    </r>
  </si>
  <si>
    <t>Project Information</t>
  </si>
  <si>
    <t>Net Annual Benefit</t>
  </si>
  <si>
    <t>Property Name</t>
  </si>
  <si>
    <t>Total kWh Saved (kWh)</t>
  </si>
  <si>
    <t>Baseline (Code Minimum) Project EUI</t>
  </si>
  <si>
    <t>kBTU/sq ft/year</t>
  </si>
  <si>
    <t>Total Therms Saved (Therms)</t>
  </si>
  <si>
    <t>Total kWh Offset (kWh)</t>
  </si>
  <si>
    <t>Net Annual Benefit (first year)</t>
  </si>
  <si>
    <t>Life Cycle Cost Analysis*
(Net Detriments and Benefits Flow)</t>
  </si>
  <si>
    <t># Years</t>
  </si>
  <si>
    <t>Annual Energy Usage &amp; Production</t>
  </si>
  <si>
    <t>Code Minimum Building Electricity (kWh)</t>
  </si>
  <si>
    <t>Net Detriments &amp; Benefits [$/Yr]</t>
  </si>
  <si>
    <t>Proposed Electricity Usage (kWh)</t>
  </si>
  <si>
    <t>Cumulative Detriments &amp; Benefits [$]</t>
  </si>
  <si>
    <t>Code Minimum Building Natural Gas (Therms)</t>
  </si>
  <si>
    <t>Break-Even [#Yrs]</t>
  </si>
  <si>
    <t>Proposed Natural Gas Usage (Therms)</t>
  </si>
  <si>
    <t>*Does not include equipment lifespans and replacement costs, which affect the projected payback at longer timelines.</t>
  </si>
  <si>
    <t>Estimated Renewable Energy (kWh)</t>
  </si>
  <si>
    <t>Estimated Renewable Energy (Therms)</t>
  </si>
  <si>
    <t>NPVs of Life Cycle Cost Analysis</t>
  </si>
  <si>
    <t>Save vs. Make $/kWh</t>
  </si>
  <si>
    <t>kWh/Yr</t>
  </si>
  <si>
    <t>w/o Incentives [$]</t>
  </si>
  <si>
    <t>w/ Incentives [$]</t>
  </si>
  <si>
    <t>Project Costs</t>
  </si>
  <si>
    <t>20-Yr Net Present Value [$]</t>
  </si>
  <si>
    <t>1st Cost</t>
  </si>
  <si>
    <t>$/kWh</t>
  </si>
  <si>
    <t>Incremental Costs of EEMs ($)</t>
  </si>
  <si>
    <t>30-Yr Net Present Value [$]</t>
  </si>
  <si>
    <t>Save It*</t>
  </si>
  <si>
    <t>Renewable Energy System Costs ($)</t>
  </si>
  <si>
    <t>40-Yr Net Present Value [$]</t>
  </si>
  <si>
    <t>Make It</t>
  </si>
  <si>
    <t>Financial Incentives</t>
  </si>
  <si>
    <t>Break-Even [# Yrs]</t>
  </si>
  <si>
    <t>Combo</t>
  </si>
  <si>
    <t>Energy Efficiency Incentives Total ($)</t>
  </si>
  <si>
    <t>*Includes solar thermal &amp; DHW savings converted from Therms to kWh</t>
  </si>
  <si>
    <t>Renewable Energy Incentives Total ($)</t>
  </si>
  <si>
    <t>Financial Assumptions</t>
  </si>
  <si>
    <t>Energy Cost Inflation Adjuster [%/Yr]</t>
  </si>
  <si>
    <t>Discount Rate [%/Yr]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</si>
</sst>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0.0"/>
    <numFmt numFmtId="165" formatCode="_(&quot;$&quot;* #,##0_);_(&quot;$&quot;* \(#,##0\);_(&quot;$&quot;* &quot;-&quot;??_);_(@_)"/>
    <numFmt numFmtId="166" formatCode="&quot;$&quot;#,##0"/>
    <numFmt numFmtId="167" formatCode="&quot;$&quot;#,##0.000"/>
    <numFmt numFmtId="168" formatCode="_(* #,##0_);_(* \(#,##0\);_(* &quot;-&quot;??_);_(@_)"/>
    <numFmt numFmtId="169" formatCode="&quot;$&quot;#,##0.00"/>
  </numFmts>
  <fonts count="58">
    <font>
      <sz val="12"/>
      <color theme="1"/>
      <name val="Calibri"/>
      <family val="2"/>
    </font>
    <font>
      <sz val="12"/>
      <color theme="1"/>
      <name val="Calibri"/>
      <family val="2"/>
      <scheme val="minor"/>
    </font>
    <font>
      <sz val="12"/>
      <color theme="1"/>
      <name val="Calibri"/>
      <family val="2"/>
    </font>
    <font>
      <sz val="12"/>
      <color rgb="FFFF0000"/>
      <name val="Calibri"/>
      <family val="2"/>
    </font>
    <font>
      <sz val="11"/>
      <color theme="1"/>
      <name val="Calibri"/>
      <family val="2"/>
      <scheme val="minor"/>
    </font>
    <font>
      <b/>
      <sz val="16"/>
      <color theme="1"/>
      <name val="Calibri"/>
      <family val="2"/>
    </font>
    <font>
      <b/>
      <sz val="14"/>
      <color theme="1"/>
      <name val="Calibri"/>
      <family val="2"/>
    </font>
    <font>
      <sz val="14"/>
      <color theme="1"/>
      <name val="Calibri"/>
      <family val="2"/>
    </font>
    <font>
      <b/>
      <sz val="18"/>
      <color theme="1"/>
      <name val="Calibri"/>
      <family val="2"/>
    </font>
    <font>
      <b/>
      <sz val="20"/>
      <color theme="1"/>
      <name val="Calibri"/>
      <family val="2"/>
    </font>
    <font>
      <sz val="16"/>
      <color theme="1"/>
      <name val="Calibri"/>
      <family val="2"/>
    </font>
    <font>
      <b/>
      <u/>
      <sz val="18"/>
      <color theme="1"/>
      <name val="Calibri"/>
      <family val="2"/>
    </font>
    <font>
      <sz val="20"/>
      <color theme="1"/>
      <name val="Calibri"/>
      <family val="2"/>
    </font>
    <font>
      <sz val="12"/>
      <color rgb="FF000000"/>
      <name val="Tahoma"/>
      <family val="2"/>
    </font>
    <font>
      <b/>
      <sz val="15"/>
      <name val="Calibri"/>
      <family val="2"/>
    </font>
    <font>
      <b/>
      <sz val="15"/>
      <color theme="1"/>
      <name val="Calibri"/>
      <family val="2"/>
    </font>
    <font>
      <sz val="15"/>
      <color theme="1"/>
      <name val="Calibri"/>
      <family val="2"/>
    </font>
    <font>
      <sz val="15"/>
      <name val="Calibri"/>
      <family val="2"/>
    </font>
    <font>
      <b/>
      <sz val="22"/>
      <color theme="1"/>
      <name val="Calibri"/>
      <family val="2"/>
    </font>
    <font>
      <b/>
      <sz val="24"/>
      <color theme="1"/>
      <name val="Calibri"/>
      <family val="2"/>
    </font>
    <font>
      <sz val="14"/>
      <color rgb="FF000000"/>
      <name val="Calibri"/>
      <family val="34"/>
    </font>
    <font>
      <sz val="22"/>
      <color theme="1"/>
      <name val="Calibri"/>
      <family val="2"/>
    </font>
    <font>
      <sz val="14"/>
      <color rgb="FF000000"/>
      <name val="Tahoma"/>
      <family val="2"/>
    </font>
    <font>
      <sz val="14"/>
      <name val="Calibri"/>
      <family val="2"/>
    </font>
    <font>
      <sz val="15"/>
      <color rgb="FF000000"/>
      <name val="Calibri"/>
      <family val="2"/>
    </font>
    <font>
      <sz val="15"/>
      <color rgb="FF000000"/>
      <name val="+mn-lt"/>
      <charset val="1"/>
    </font>
    <font>
      <sz val="12"/>
      <name val="Calibri"/>
      <family val="2"/>
    </font>
    <font>
      <sz val="15"/>
      <color rgb="FF000000"/>
      <name val="Calibri"/>
      <family val="2"/>
      <scheme val="minor"/>
    </font>
    <font>
      <sz val="15"/>
      <name val="Calibri (Body)"/>
    </font>
    <font>
      <sz val="15"/>
      <color theme="1"/>
      <name val="Calibri"/>
      <family val="2"/>
      <scheme val="minor"/>
    </font>
    <font>
      <b/>
      <sz val="15"/>
      <color theme="1"/>
      <name val="Calibri (Body)"/>
    </font>
    <font>
      <b/>
      <u/>
      <sz val="15"/>
      <color theme="1"/>
      <name val="Calibri"/>
      <family val="2"/>
    </font>
    <font>
      <sz val="15"/>
      <color theme="1"/>
      <name val="Calibri (Body)"/>
    </font>
    <font>
      <u/>
      <sz val="12"/>
      <color theme="10"/>
      <name val="Calibri"/>
      <family val="2"/>
    </font>
    <font>
      <u/>
      <sz val="15"/>
      <color theme="10"/>
      <name val="Calibri"/>
      <family val="2"/>
    </font>
    <font>
      <u/>
      <sz val="15"/>
      <color theme="1"/>
      <name val="Calibri"/>
      <family val="2"/>
    </font>
    <font>
      <b/>
      <u/>
      <sz val="12"/>
      <color theme="1"/>
      <name val="Calibri"/>
      <family val="2"/>
    </font>
    <font>
      <b/>
      <u/>
      <sz val="16"/>
      <color theme="1"/>
      <name val="Calibri"/>
      <family val="2"/>
    </font>
    <font>
      <i/>
      <sz val="14"/>
      <color theme="1"/>
      <name val="Calibri"/>
      <family val="2"/>
    </font>
    <font>
      <b/>
      <sz val="15"/>
      <color rgb="FF000000"/>
      <name val="Calibri"/>
      <family val="2"/>
    </font>
    <font>
      <sz val="16"/>
      <name val="Calibri"/>
      <family val="2"/>
    </font>
    <font>
      <b/>
      <sz val="16"/>
      <color theme="1"/>
      <name val="Calibri"/>
      <family val="2"/>
      <scheme val="minor"/>
    </font>
    <font>
      <b/>
      <u/>
      <sz val="20"/>
      <color theme="1"/>
      <name val="Calibri"/>
      <family val="2"/>
    </font>
    <font>
      <sz val="16"/>
      <color theme="1"/>
      <name val="Calibri"/>
      <family val="2"/>
      <scheme val="minor"/>
    </font>
    <font>
      <b/>
      <sz val="15"/>
      <color rgb="FF00B0F0"/>
      <name val="Calibri"/>
      <family val="2"/>
    </font>
    <font>
      <b/>
      <sz val="16"/>
      <color rgb="FF00B0F0"/>
      <name val="Calibri"/>
      <family val="2"/>
    </font>
    <font>
      <b/>
      <u/>
      <sz val="16"/>
      <name val="Calibri"/>
      <family val="2"/>
    </font>
    <font>
      <u/>
      <sz val="16"/>
      <color theme="10"/>
      <name val="Calibri"/>
      <family val="2"/>
    </font>
    <font>
      <sz val="15"/>
      <name val="Calibri"/>
      <family val="2"/>
      <scheme val="minor"/>
    </font>
    <font>
      <u/>
      <sz val="15"/>
      <color rgb="FF000000"/>
      <name val="+mn-lt"/>
      <charset val="1"/>
    </font>
    <font>
      <u/>
      <sz val="15"/>
      <color theme="10"/>
      <name val="Calibri"/>
      <family val="2"/>
      <scheme val="minor"/>
    </font>
    <font>
      <b/>
      <sz val="18"/>
      <name val="Calibri"/>
      <family val="2"/>
    </font>
    <font>
      <b/>
      <sz val="14"/>
      <name val="Calibri"/>
      <family val="2"/>
    </font>
    <font>
      <u/>
      <sz val="15"/>
      <name val="Calibri"/>
      <family val="2"/>
    </font>
    <font>
      <b/>
      <sz val="14"/>
      <color rgb="FF000000"/>
      <name val="Calibri"/>
      <family val="2"/>
    </font>
    <font>
      <b/>
      <i/>
      <u/>
      <sz val="16"/>
      <color theme="1"/>
      <name val="Calibri"/>
      <family val="2"/>
    </font>
    <font>
      <i/>
      <sz val="16"/>
      <color theme="1"/>
      <name val="Calibri"/>
      <family val="2"/>
    </font>
    <font>
      <sz val="18"/>
      <color rgb="FF000000"/>
      <name val="Calibri"/>
      <family val="2"/>
    </font>
  </fonts>
  <fills count="1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D9D9D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C6E0B4"/>
        <bgColor rgb="FF000000"/>
      </patternFill>
    </fill>
    <fill>
      <patternFill patternType="solid">
        <fgColor rgb="FFBDD7EE"/>
        <bgColor rgb="FF000000"/>
      </patternFill>
    </fill>
    <fill>
      <patternFill patternType="solid">
        <fgColor rgb="FFFCE4D6"/>
        <bgColor rgb="FF000000"/>
      </patternFill>
    </fill>
    <fill>
      <patternFill patternType="solid">
        <fgColor rgb="FFDBDBDB"/>
        <bgColor rgb="FF000000"/>
      </patternFill>
    </fill>
    <fill>
      <patternFill patternType="solid">
        <fgColor theme="6" tint="0.79998168889431442"/>
        <bgColor indexed="64"/>
      </patternFill>
    </fill>
  </fills>
  <borders count="6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bottom/>
      <diagonal/>
    </border>
  </borders>
  <cellStyleXfs count="9">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0" fontId="4" fillId="0" borderId="0"/>
    <xf numFmtId="43" fontId="1" fillId="0" borderId="0" applyFont="0" applyFill="0" applyBorder="0" applyAlignment="0" applyProtection="0"/>
    <xf numFmtId="0" fontId="33" fillId="0" borderId="0" applyNumberFormat="0" applyFill="0" applyBorder="0" applyAlignment="0" applyProtection="0"/>
  </cellStyleXfs>
  <cellXfs count="454">
    <xf numFmtId="0" fontId="0" fillId="0" borderId="0" xfId="0"/>
    <xf numFmtId="0" fontId="0" fillId="0" borderId="0" xfId="0" applyAlignment="1">
      <alignment vertical="center"/>
    </xf>
    <xf numFmtId="0" fontId="0" fillId="0" borderId="0" xfId="0" applyAlignment="1">
      <alignment vertical="top"/>
    </xf>
    <xf numFmtId="0" fontId="16" fillId="0" borderId="0" xfId="0" applyFont="1" applyAlignment="1">
      <alignment vertical="top" wrapText="1"/>
    </xf>
    <xf numFmtId="0" fontId="16" fillId="0" borderId="0" xfId="0" applyFont="1" applyAlignment="1">
      <alignment vertical="top"/>
    </xf>
    <xf numFmtId="0" fontId="19" fillId="0" borderId="0" xfId="0" applyFont="1" applyAlignment="1">
      <alignment vertical="center" wrapText="1"/>
    </xf>
    <xf numFmtId="0" fontId="15" fillId="0" borderId="57" xfId="0" applyFont="1" applyBorder="1"/>
    <xf numFmtId="0" fontId="16" fillId="0" borderId="58" xfId="0" applyFont="1" applyBorder="1" applyAlignment="1">
      <alignment vertical="top"/>
    </xf>
    <xf numFmtId="0" fontId="15" fillId="0" borderId="57" xfId="0" applyFont="1" applyBorder="1" applyAlignment="1">
      <alignment vertical="top"/>
    </xf>
    <xf numFmtId="0" fontId="15" fillId="0" borderId="28" xfId="0" applyFont="1" applyBorder="1" applyAlignment="1">
      <alignment vertical="top"/>
    </xf>
    <xf numFmtId="0" fontId="16" fillId="0" borderId="25" xfId="0" applyFont="1" applyBorder="1" applyAlignment="1">
      <alignment vertical="top"/>
    </xf>
    <xf numFmtId="0" fontId="16" fillId="0" borderId="12" xfId="0" applyFont="1" applyBorder="1" applyAlignment="1">
      <alignment vertical="top"/>
    </xf>
    <xf numFmtId="0" fontId="16" fillId="0" borderId="23" xfId="0" applyFont="1" applyBorder="1" applyAlignment="1">
      <alignment vertical="top"/>
    </xf>
    <xf numFmtId="0" fontId="18" fillId="0" borderId="0" xfId="0" applyFont="1" applyProtection="1">
      <protection hidden="1"/>
    </xf>
    <xf numFmtId="0" fontId="0" fillId="0" borderId="0" xfId="0" applyProtection="1">
      <protection hidden="1"/>
    </xf>
    <xf numFmtId="0" fontId="16" fillId="0" borderId="0" xfId="0" applyFont="1" applyAlignment="1" applyProtection="1">
      <alignment vertical="top" wrapText="1"/>
      <protection hidden="1"/>
    </xf>
    <xf numFmtId="0" fontId="5" fillId="0" borderId="5" xfId="0" applyFont="1" applyBorder="1" applyAlignment="1" applyProtection="1">
      <alignment horizontal="center" vertical="center"/>
      <protection hidden="1"/>
    </xf>
    <xf numFmtId="0" fontId="5" fillId="0" borderId="5" xfId="0" applyFont="1" applyBorder="1" applyAlignment="1" applyProtection="1">
      <alignment horizontal="center" vertical="center" wrapText="1"/>
      <protection hidden="1"/>
    </xf>
    <xf numFmtId="0" fontId="16" fillId="0" borderId="5" xfId="0" applyFont="1" applyBorder="1" applyAlignment="1" applyProtection="1">
      <alignment vertical="center"/>
      <protection hidden="1"/>
    </xf>
    <xf numFmtId="0" fontId="38" fillId="0" borderId="0" xfId="0" applyFont="1" applyAlignment="1" applyProtection="1">
      <alignment horizontal="left"/>
      <protection hidden="1"/>
    </xf>
    <xf numFmtId="0" fontId="0" fillId="0" borderId="0" xfId="0" applyAlignment="1" applyProtection="1">
      <alignment horizontal="center"/>
      <protection hidden="1"/>
    </xf>
    <xf numFmtId="0" fontId="18" fillId="0" borderId="0" xfId="0" applyFont="1" applyAlignment="1" applyProtection="1">
      <alignment horizontal="center"/>
      <protection hidden="1"/>
    </xf>
    <xf numFmtId="0" fontId="16" fillId="0" borderId="50" xfId="0" applyFont="1" applyBorder="1" applyAlignment="1" applyProtection="1">
      <alignment horizontal="left" vertical="center"/>
      <protection hidden="1"/>
    </xf>
    <xf numFmtId="0" fontId="16" fillId="0" borderId="5" xfId="0" applyFont="1" applyBorder="1" applyAlignment="1" applyProtection="1">
      <alignment horizontal="left" vertical="center"/>
      <protection hidden="1"/>
    </xf>
    <xf numFmtId="0" fontId="26" fillId="0" borderId="0" xfId="0" applyFont="1" applyAlignment="1" applyProtection="1">
      <alignment vertical="top" wrapText="1"/>
      <protection hidden="1"/>
    </xf>
    <xf numFmtId="164" fontId="0" fillId="0" borderId="0" xfId="0" applyNumberFormat="1" applyProtection="1">
      <protection hidden="1"/>
    </xf>
    <xf numFmtId="168" fontId="5" fillId="0" borderId="0" xfId="1" applyNumberFormat="1" applyFont="1" applyAlignment="1" applyProtection="1">
      <protection hidden="1"/>
    </xf>
    <xf numFmtId="0" fontId="0" fillId="0" borderId="0" xfId="0" applyAlignment="1" applyProtection="1">
      <alignment vertical="center"/>
      <protection hidden="1"/>
    </xf>
    <xf numFmtId="3" fontId="16" fillId="8" borderId="6" xfId="0" applyNumberFormat="1" applyFont="1" applyFill="1" applyBorder="1" applyAlignment="1" applyProtection="1">
      <alignment horizontal="center" vertical="center"/>
      <protection hidden="1"/>
    </xf>
    <xf numFmtId="3" fontId="0" fillId="0" borderId="0" xfId="0" applyNumberFormat="1" applyAlignment="1" applyProtection="1">
      <alignment horizontal="center"/>
      <protection hidden="1"/>
    </xf>
    <xf numFmtId="0" fontId="37" fillId="0" borderId="0" xfId="0" applyFont="1" applyAlignment="1" applyProtection="1">
      <alignment horizontal="center"/>
      <protection hidden="1"/>
    </xf>
    <xf numFmtId="0" fontId="9" fillId="0" borderId="0" xfId="0" applyFont="1" applyProtection="1">
      <protection hidden="1"/>
    </xf>
    <xf numFmtId="0" fontId="8" fillId="0" borderId="0" xfId="0" applyFont="1" applyAlignment="1" applyProtection="1">
      <alignment vertical="center" wrapText="1"/>
      <protection hidden="1"/>
    </xf>
    <xf numFmtId="0" fontId="15" fillId="0" borderId="1" xfId="0" applyFont="1" applyBorder="1" applyAlignment="1" applyProtection="1">
      <alignment horizontal="center" vertical="center" wrapText="1"/>
      <protection hidden="1"/>
    </xf>
    <xf numFmtId="0" fontId="15" fillId="0" borderId="2"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8" fillId="0" borderId="0" xfId="0" applyFont="1" applyProtection="1">
      <protection hidden="1"/>
    </xf>
    <xf numFmtId="1" fontId="5" fillId="0" borderId="52" xfId="0" applyNumberFormat="1" applyFont="1" applyBorder="1" applyAlignment="1" applyProtection="1">
      <alignment horizontal="center" vertical="center"/>
      <protection hidden="1"/>
    </xf>
    <xf numFmtId="0" fontId="5" fillId="0" borderId="13" xfId="0" applyFont="1" applyBorder="1" applyAlignment="1" applyProtection="1">
      <alignment horizontal="left" vertical="center"/>
      <protection hidden="1"/>
    </xf>
    <xf numFmtId="1" fontId="5" fillId="0" borderId="46" xfId="0" applyNumberFormat="1" applyFont="1" applyBorder="1" applyAlignment="1" applyProtection="1">
      <alignment horizontal="center" vertical="center"/>
      <protection hidden="1"/>
    </xf>
    <xf numFmtId="0" fontId="7" fillId="13" borderId="21" xfId="0" applyFont="1" applyFill="1" applyBorder="1" applyAlignment="1" applyProtection="1">
      <alignment vertical="center"/>
      <protection hidden="1"/>
    </xf>
    <xf numFmtId="169" fontId="7" fillId="13" borderId="6" xfId="0" applyNumberFormat="1" applyFont="1" applyFill="1" applyBorder="1" applyAlignment="1" applyProtection="1">
      <alignment horizontal="center" vertical="center"/>
      <protection hidden="1"/>
    </xf>
    <xf numFmtId="169" fontId="0" fillId="0" borderId="0" xfId="0" applyNumberFormat="1" applyAlignment="1" applyProtection="1">
      <alignment horizontal="center"/>
      <protection hidden="1"/>
    </xf>
    <xf numFmtId="166" fontId="5" fillId="0" borderId="0" xfId="0" applyNumberFormat="1" applyFont="1" applyProtection="1">
      <protection hidden="1"/>
    </xf>
    <xf numFmtId="0" fontId="5" fillId="0" borderId="52" xfId="0" applyFont="1" applyBorder="1" applyAlignment="1" applyProtection="1">
      <alignment horizontal="left" vertical="center" wrapText="1"/>
      <protection hidden="1"/>
    </xf>
    <xf numFmtId="0" fontId="16" fillId="8" borderId="46" xfId="0" applyFont="1" applyFill="1" applyBorder="1" applyProtection="1">
      <protection hidden="1"/>
    </xf>
    <xf numFmtId="165" fontId="5" fillId="0" borderId="0" xfId="0" applyNumberFormat="1" applyFont="1" applyProtection="1">
      <protection hidden="1"/>
    </xf>
    <xf numFmtId="1" fontId="5" fillId="0" borderId="47" xfId="0" applyNumberFormat="1" applyFont="1" applyBorder="1" applyAlignment="1" applyProtection="1">
      <alignment horizontal="center" vertical="center"/>
      <protection hidden="1"/>
    </xf>
    <xf numFmtId="0" fontId="7" fillId="13" borderId="26" xfId="0" applyFont="1" applyFill="1" applyBorder="1" applyAlignment="1" applyProtection="1">
      <alignment vertical="center"/>
      <protection hidden="1"/>
    </xf>
    <xf numFmtId="169" fontId="7" fillId="13" borderId="9" xfId="0" applyNumberFormat="1" applyFont="1" applyFill="1" applyBorder="1" applyAlignment="1" applyProtection="1">
      <alignment horizontal="center" vertical="center"/>
      <protection hidden="1"/>
    </xf>
    <xf numFmtId="0" fontId="0" fillId="0" borderId="0" xfId="0" applyAlignment="1" applyProtection="1">
      <alignment horizontal="left" vertical="top" wrapText="1"/>
      <protection hidden="1"/>
    </xf>
    <xf numFmtId="0" fontId="16" fillId="8" borderId="47" xfId="0" applyFont="1" applyFill="1" applyBorder="1" applyProtection="1">
      <protection hidden="1"/>
    </xf>
    <xf numFmtId="0" fontId="26" fillId="0" borderId="0" xfId="0" applyFont="1" applyAlignment="1" applyProtection="1">
      <alignment horizontal="left" vertical="top" wrapText="1"/>
      <protection hidden="1"/>
    </xf>
    <xf numFmtId="0" fontId="34" fillId="0" borderId="0" xfId="8" applyFont="1" applyAlignment="1" applyProtection="1">
      <alignment vertical="top"/>
      <protection hidden="1"/>
    </xf>
    <xf numFmtId="0" fontId="0" fillId="0" borderId="0" xfId="0" applyAlignment="1" applyProtection="1">
      <alignment vertical="top"/>
      <protection hidden="1"/>
    </xf>
    <xf numFmtId="0" fontId="11" fillId="0" borderId="0" xfId="0" applyFont="1" applyProtection="1">
      <protection hidden="1"/>
    </xf>
    <xf numFmtId="0" fontId="15" fillId="0" borderId="0" xfId="0" applyFont="1" applyProtection="1">
      <protection hidden="1"/>
    </xf>
    <xf numFmtId="0" fontId="16" fillId="0" borderId="0" xfId="0" applyFont="1" applyAlignment="1" applyProtection="1">
      <alignment horizontal="center"/>
      <protection hidden="1"/>
    </xf>
    <xf numFmtId="0" fontId="15" fillId="0" borderId="0" xfId="0" applyFont="1" applyAlignment="1" applyProtection="1">
      <alignment horizontal="left"/>
      <protection hidden="1"/>
    </xf>
    <xf numFmtId="166" fontId="15" fillId="0" borderId="0" xfId="0" applyNumberFormat="1" applyFont="1" applyProtection="1">
      <protection hidden="1"/>
    </xf>
    <xf numFmtId="0" fontId="15" fillId="0" borderId="19" xfId="0" applyFont="1" applyBorder="1" applyAlignment="1" applyProtection="1">
      <alignment horizontal="left" vertical="center"/>
      <protection hidden="1"/>
    </xf>
    <xf numFmtId="0" fontId="0" fillId="0" borderId="0" xfId="0" applyAlignment="1" applyProtection="1">
      <alignment horizontal="left" indent="1"/>
      <protection hidden="1"/>
    </xf>
    <xf numFmtId="0" fontId="36" fillId="0" borderId="0" xfId="0" applyFont="1" applyAlignment="1" applyProtection="1">
      <alignment horizontal="left" indent="1"/>
      <protection hidden="1"/>
    </xf>
    <xf numFmtId="0" fontId="46" fillId="0" borderId="0" xfId="0" applyFont="1" applyAlignment="1" applyProtection="1">
      <alignment horizontal="center"/>
      <protection hidden="1"/>
    </xf>
    <xf numFmtId="0" fontId="9" fillId="0" borderId="0" xfId="0" applyFont="1" applyAlignment="1" applyProtection="1">
      <alignment horizontal="center"/>
      <protection hidden="1"/>
    </xf>
    <xf numFmtId="0" fontId="14" fillId="0" borderId="0" xfId="0" applyFont="1" applyAlignment="1" applyProtection="1">
      <alignment horizontal="center" vertical="center" wrapText="1"/>
      <protection hidden="1"/>
    </xf>
    <xf numFmtId="0" fontId="0" fillId="0" borderId="0" xfId="0" applyAlignment="1" applyProtection="1">
      <alignment horizontal="left"/>
      <protection hidden="1"/>
    </xf>
    <xf numFmtId="0" fontId="15" fillId="0" borderId="0" xfId="0" applyFont="1" applyAlignment="1" applyProtection="1">
      <alignment vertical="top"/>
      <protection hidden="1"/>
    </xf>
    <xf numFmtId="0" fontId="45" fillId="0" borderId="0" xfId="0" applyFont="1" applyAlignment="1" applyProtection="1">
      <alignment horizontal="left" vertical="top"/>
      <protection hidden="1"/>
    </xf>
    <xf numFmtId="0" fontId="26" fillId="0" borderId="0" xfId="0" applyFont="1" applyProtection="1">
      <protection hidden="1"/>
    </xf>
    <xf numFmtId="0" fontId="15" fillId="0" borderId="1" xfId="0" applyFont="1" applyBorder="1" applyAlignment="1" applyProtection="1">
      <alignment vertical="center"/>
      <protection hidden="1"/>
    </xf>
    <xf numFmtId="0" fontId="15" fillId="0" borderId="59" xfId="0" applyFont="1" applyBorder="1" applyAlignment="1" applyProtection="1">
      <alignment horizontal="center" vertical="center" wrapText="1"/>
      <protection hidden="1"/>
    </xf>
    <xf numFmtId="0" fontId="15" fillId="0" borderId="32" xfId="0" applyFont="1" applyBorder="1" applyAlignment="1" applyProtection="1">
      <alignment horizontal="center" vertical="center" wrapText="1"/>
      <protection hidden="1"/>
    </xf>
    <xf numFmtId="0" fontId="15" fillId="0" borderId="51" xfId="0" applyFont="1" applyBorder="1" applyAlignment="1" applyProtection="1">
      <alignment horizontal="center" vertical="center" wrapText="1"/>
      <protection hidden="1"/>
    </xf>
    <xf numFmtId="0" fontId="5" fillId="0" borderId="51" xfId="0" applyFont="1" applyBorder="1" applyAlignment="1" applyProtection="1">
      <alignment horizontal="center" vertical="center"/>
      <protection hidden="1"/>
    </xf>
    <xf numFmtId="0" fontId="15" fillId="0" borderId="61" xfId="0" applyFont="1" applyBorder="1" applyAlignment="1" applyProtection="1">
      <alignment horizontal="center" vertical="center" wrapText="1"/>
      <protection hidden="1"/>
    </xf>
    <xf numFmtId="37" fontId="32" fillId="8" borderId="5" xfId="6" applyNumberFormat="1" applyFont="1" applyFill="1" applyBorder="1" applyAlignment="1" applyProtection="1">
      <alignment horizontal="center"/>
      <protection hidden="1"/>
    </xf>
    <xf numFmtId="166" fontId="32" fillId="8" borderId="5" xfId="0" applyNumberFormat="1" applyFont="1" applyFill="1" applyBorder="1" applyAlignment="1" applyProtection="1">
      <alignment horizontal="center"/>
      <protection hidden="1"/>
    </xf>
    <xf numFmtId="169" fontId="16" fillId="3" borderId="5" xfId="0" applyNumberFormat="1" applyFont="1" applyFill="1" applyBorder="1" applyAlignment="1" applyProtection="1">
      <alignment horizontal="center"/>
      <protection hidden="1"/>
    </xf>
    <xf numFmtId="0" fontId="15" fillId="0" borderId="52" xfId="0" applyFont="1" applyBorder="1" applyAlignment="1" applyProtection="1">
      <alignment vertical="center"/>
      <protection hidden="1"/>
    </xf>
    <xf numFmtId="166" fontId="16" fillId="4" borderId="13" xfId="0" applyNumberFormat="1" applyFont="1" applyFill="1" applyBorder="1" applyAlignment="1" applyProtection="1">
      <alignment horizontal="center" vertical="center"/>
      <protection hidden="1"/>
    </xf>
    <xf numFmtId="3" fontId="16" fillId="8" borderId="2" xfId="0" applyNumberFormat="1" applyFont="1" applyFill="1" applyBorder="1" applyAlignment="1" applyProtection="1">
      <alignment horizontal="center" vertical="center"/>
      <protection hidden="1"/>
    </xf>
    <xf numFmtId="9" fontId="16" fillId="3" borderId="3" xfId="3" applyFont="1" applyFill="1" applyBorder="1" applyAlignment="1" applyProtection="1">
      <alignment horizontal="center" vertical="center"/>
      <protection hidden="1"/>
    </xf>
    <xf numFmtId="0" fontId="15" fillId="0" borderId="0" xfId="0" applyFont="1" applyAlignment="1" applyProtection="1">
      <alignment horizontal="left" vertical="center"/>
      <protection hidden="1"/>
    </xf>
    <xf numFmtId="0" fontId="15" fillId="0" borderId="47" xfId="0" applyFont="1" applyBorder="1" applyAlignment="1" applyProtection="1">
      <alignment horizontal="left" vertical="center"/>
      <protection hidden="1"/>
    </xf>
    <xf numFmtId="166" fontId="16" fillId="3" borderId="26" xfId="0" applyNumberFormat="1" applyFont="1" applyFill="1" applyBorder="1" applyAlignment="1" applyProtection="1">
      <alignment horizontal="center" vertical="center"/>
      <protection hidden="1"/>
    </xf>
    <xf numFmtId="3" fontId="16" fillId="3" borderId="8" xfId="0" applyNumberFormat="1" applyFont="1" applyFill="1" applyBorder="1" applyAlignment="1" applyProtection="1">
      <alignment horizontal="center" vertical="center"/>
      <protection hidden="1"/>
    </xf>
    <xf numFmtId="164" fontId="16" fillId="3" borderId="8" xfId="0" applyNumberFormat="1" applyFont="1" applyFill="1" applyBorder="1" applyAlignment="1" applyProtection="1">
      <alignment horizontal="center" vertical="center" wrapText="1"/>
      <protection hidden="1"/>
    </xf>
    <xf numFmtId="9" fontId="17" fillId="3" borderId="9" xfId="3" applyFont="1" applyFill="1" applyBorder="1" applyAlignment="1" applyProtection="1">
      <alignment horizontal="center" vertical="center"/>
      <protection hidden="1"/>
    </xf>
    <xf numFmtId="0" fontId="30" fillId="0" borderId="0" xfId="4" applyFont="1" applyAlignment="1" applyProtection="1">
      <alignment horizontal="left" vertical="center"/>
      <protection hidden="1"/>
    </xf>
    <xf numFmtId="0" fontId="30" fillId="0" borderId="0" xfId="0" applyFont="1" applyAlignment="1" applyProtection="1">
      <alignment horizontal="left" vertical="center"/>
      <protection hidden="1"/>
    </xf>
    <xf numFmtId="0" fontId="30" fillId="0" borderId="4" xfId="0" applyFont="1" applyBorder="1" applyAlignment="1" applyProtection="1">
      <alignment vertical="center"/>
      <protection hidden="1"/>
    </xf>
    <xf numFmtId="9" fontId="16" fillId="3" borderId="6" xfId="3" applyFont="1" applyFill="1" applyBorder="1" applyAlignment="1" applyProtection="1">
      <alignment horizontal="center" vertical="center"/>
      <protection hidden="1"/>
    </xf>
    <xf numFmtId="0" fontId="30" fillId="0" borderId="7" xfId="0" applyFont="1" applyBorder="1" applyAlignment="1" applyProtection="1">
      <alignment vertical="center"/>
      <protection hidden="1"/>
    </xf>
    <xf numFmtId="9" fontId="16" fillId="3" borderId="9" xfId="3" applyFont="1" applyFill="1" applyBorder="1" applyAlignment="1" applyProtection="1">
      <alignment horizontal="center" vertical="center"/>
      <protection hidden="1"/>
    </xf>
    <xf numFmtId="0" fontId="15" fillId="0" borderId="16" xfId="0" applyFont="1" applyBorder="1" applyAlignment="1" applyProtection="1">
      <alignment vertical="center"/>
      <protection hidden="1"/>
    </xf>
    <xf numFmtId="9" fontId="17" fillId="3" borderId="17" xfId="3" applyFont="1" applyFill="1" applyBorder="1" applyAlignment="1" applyProtection="1">
      <alignment horizontal="center" vertical="center"/>
      <protection hidden="1"/>
    </xf>
    <xf numFmtId="0" fontId="3" fillId="0" borderId="0" xfId="0" applyFont="1" applyAlignment="1" applyProtection="1">
      <alignment wrapText="1"/>
      <protection hidden="1"/>
    </xf>
    <xf numFmtId="0" fontId="15" fillId="0" borderId="48" xfId="0" applyFont="1" applyBorder="1" applyAlignment="1" applyProtection="1">
      <alignment horizontal="center" vertical="center"/>
      <protection hidden="1"/>
    </xf>
    <xf numFmtId="0" fontId="15" fillId="0" borderId="53" xfId="0" applyFont="1" applyBorder="1" applyAlignment="1" applyProtection="1">
      <alignment vertical="center" wrapText="1"/>
      <protection hidden="1"/>
    </xf>
    <xf numFmtId="0" fontId="15" fillId="0" borderId="53" xfId="0" applyFont="1" applyBorder="1" applyAlignment="1" applyProtection="1">
      <alignment horizontal="center" vertical="center" wrapText="1"/>
      <protection hidden="1"/>
    </xf>
    <xf numFmtId="0" fontId="15" fillId="0" borderId="43" xfId="0" applyFont="1" applyBorder="1" applyAlignment="1" applyProtection="1">
      <alignment horizontal="center" vertical="center"/>
      <protection hidden="1"/>
    </xf>
    <xf numFmtId="166" fontId="32" fillId="3" borderId="10" xfId="0" applyNumberFormat="1" applyFont="1" applyFill="1" applyBorder="1" applyAlignment="1" applyProtection="1">
      <alignment horizontal="center" vertical="center"/>
      <protection hidden="1"/>
    </xf>
    <xf numFmtId="169" fontId="32" fillId="3" borderId="2" xfId="0" applyNumberFormat="1" applyFont="1" applyFill="1" applyBorder="1" applyAlignment="1" applyProtection="1">
      <alignment horizontal="center" vertical="center"/>
      <protection hidden="1"/>
    </xf>
    <xf numFmtId="166" fontId="32" fillId="3" borderId="2" xfId="0" applyNumberFormat="1" applyFont="1" applyFill="1" applyBorder="1" applyAlignment="1" applyProtection="1">
      <alignment horizontal="center" vertical="center"/>
      <protection hidden="1"/>
    </xf>
    <xf numFmtId="169" fontId="28" fillId="3" borderId="3" xfId="0" applyNumberFormat="1" applyFont="1" applyFill="1" applyBorder="1" applyAlignment="1" applyProtection="1">
      <alignment horizontal="center" vertical="center"/>
      <protection hidden="1"/>
    </xf>
    <xf numFmtId="37" fontId="32" fillId="8" borderId="8" xfId="6" applyNumberFormat="1" applyFont="1" applyFill="1" applyBorder="1" applyAlignment="1" applyProtection="1">
      <alignment horizontal="center"/>
      <protection hidden="1"/>
    </xf>
    <xf numFmtId="166" fontId="32" fillId="8" borderId="8" xfId="0" applyNumberFormat="1" applyFont="1" applyFill="1" applyBorder="1" applyAlignment="1" applyProtection="1">
      <alignment horizontal="center"/>
      <protection hidden="1"/>
    </xf>
    <xf numFmtId="169" fontId="16" fillId="3" borderId="8" xfId="0" applyNumberFormat="1" applyFont="1" applyFill="1" applyBorder="1" applyAlignment="1" applyProtection="1">
      <alignment horizontal="center"/>
      <protection hidden="1"/>
    </xf>
    <xf numFmtId="166" fontId="32" fillId="3" borderId="19" xfId="0" applyNumberFormat="1" applyFont="1" applyFill="1" applyBorder="1" applyAlignment="1" applyProtection="1">
      <alignment horizontal="center" vertical="center"/>
      <protection hidden="1"/>
    </xf>
    <xf numFmtId="169" fontId="32" fillId="3" borderId="5" xfId="0" applyNumberFormat="1" applyFont="1" applyFill="1" applyBorder="1" applyAlignment="1" applyProtection="1">
      <alignment horizontal="center" vertical="center"/>
      <protection hidden="1"/>
    </xf>
    <xf numFmtId="166" fontId="32" fillId="3" borderId="5" xfId="0" applyNumberFormat="1" applyFont="1" applyFill="1" applyBorder="1" applyAlignment="1" applyProtection="1">
      <alignment horizontal="center" vertical="center"/>
      <protection hidden="1"/>
    </xf>
    <xf numFmtId="169" fontId="28" fillId="3" borderId="6" xfId="0" applyNumberFormat="1" applyFont="1" applyFill="1" applyBorder="1" applyAlignment="1" applyProtection="1">
      <alignment horizontal="center" vertical="center"/>
      <protection hidden="1"/>
    </xf>
    <xf numFmtId="0" fontId="32" fillId="0" borderId="60" xfId="6" applyFont="1" applyBorder="1" applyAlignment="1" applyProtection="1">
      <alignment horizontal="left" vertical="center"/>
      <protection hidden="1"/>
    </xf>
    <xf numFmtId="3" fontId="40" fillId="3" borderId="53" xfId="0" applyNumberFormat="1" applyFont="1" applyFill="1" applyBorder="1" applyAlignment="1" applyProtection="1">
      <alignment horizontal="center" vertical="center"/>
      <protection hidden="1"/>
    </xf>
    <xf numFmtId="166" fontId="43" fillId="3" borderId="53" xfId="0" applyNumberFormat="1" applyFont="1" applyFill="1" applyBorder="1" applyAlignment="1" applyProtection="1">
      <alignment horizontal="center" vertical="center"/>
      <protection hidden="1"/>
    </xf>
    <xf numFmtId="169" fontId="16" fillId="3" borderId="43" xfId="0" applyNumberFormat="1" applyFont="1" applyFill="1" applyBorder="1" applyAlignment="1" applyProtection="1">
      <alignment horizontal="center" vertical="center"/>
      <protection hidden="1"/>
    </xf>
    <xf numFmtId="0" fontId="30" fillId="0" borderId="22" xfId="0" applyFont="1" applyBorder="1" applyAlignment="1" applyProtection="1">
      <alignment vertical="center"/>
      <protection hidden="1"/>
    </xf>
    <xf numFmtId="166" fontId="32" fillId="3" borderId="22" xfId="0" applyNumberFormat="1" applyFont="1" applyFill="1" applyBorder="1" applyAlignment="1" applyProtection="1">
      <alignment horizontal="center" vertical="center"/>
      <protection hidden="1"/>
    </xf>
    <xf numFmtId="169" fontId="32" fillId="3" borderId="8" xfId="0" applyNumberFormat="1" applyFont="1" applyFill="1" applyBorder="1" applyAlignment="1" applyProtection="1">
      <alignment horizontal="center" vertical="center"/>
      <protection hidden="1"/>
    </xf>
    <xf numFmtId="166" fontId="32" fillId="3" borderId="8" xfId="0" applyNumberFormat="1" applyFont="1" applyFill="1" applyBorder="1" applyAlignment="1" applyProtection="1">
      <alignment horizontal="center" vertical="center"/>
      <protection hidden="1"/>
    </xf>
    <xf numFmtId="169" fontId="32" fillId="3" borderId="9" xfId="0" applyNumberFormat="1" applyFont="1" applyFill="1" applyBorder="1" applyAlignment="1" applyProtection="1">
      <alignment horizontal="center" vertical="center"/>
      <protection hidden="1"/>
    </xf>
    <xf numFmtId="0" fontId="41" fillId="0" borderId="0" xfId="0" applyFont="1" applyAlignment="1" applyProtection="1">
      <alignment vertical="center"/>
      <protection hidden="1"/>
    </xf>
    <xf numFmtId="0" fontId="15" fillId="0" borderId="10" xfId="0" applyFont="1" applyBorder="1" applyAlignment="1" applyProtection="1">
      <alignment horizontal="left" vertical="center" wrapText="1"/>
      <protection hidden="1"/>
    </xf>
    <xf numFmtId="0" fontId="8" fillId="4" borderId="3" xfId="0" applyFont="1" applyFill="1" applyBorder="1" applyAlignment="1" applyProtection="1">
      <alignment horizontal="center" vertical="center"/>
      <protection hidden="1"/>
    </xf>
    <xf numFmtId="0" fontId="16" fillId="8" borderId="19" xfId="0" applyFont="1" applyFill="1" applyBorder="1" applyAlignment="1" applyProtection="1">
      <alignment horizontal="left"/>
      <protection hidden="1"/>
    </xf>
    <xf numFmtId="3" fontId="16" fillId="8" borderId="5" xfId="0" applyNumberFormat="1" applyFont="1" applyFill="1" applyBorder="1" applyAlignment="1" applyProtection="1">
      <alignment horizontal="center"/>
      <protection hidden="1"/>
    </xf>
    <xf numFmtId="5" fontId="32" fillId="8" borderId="5" xfId="2" applyNumberFormat="1" applyFont="1" applyFill="1" applyBorder="1" applyAlignment="1" applyProtection="1">
      <alignment horizontal="center"/>
      <protection hidden="1"/>
    </xf>
    <xf numFmtId="169" fontId="32" fillId="3" borderId="5" xfId="0" applyNumberFormat="1" applyFont="1" applyFill="1" applyBorder="1" applyAlignment="1" applyProtection="1">
      <alignment horizontal="center"/>
      <protection hidden="1"/>
    </xf>
    <xf numFmtId="0" fontId="16" fillId="4" borderId="6" xfId="0" applyFont="1" applyFill="1" applyBorder="1" applyAlignment="1" applyProtection="1">
      <alignment horizontal="center" vertical="center" wrapText="1"/>
      <protection hidden="1"/>
    </xf>
    <xf numFmtId="0" fontId="16" fillId="4" borderId="9" xfId="0" applyFont="1" applyFill="1" applyBorder="1" applyAlignment="1" applyProtection="1">
      <alignment horizontal="center" vertical="center" wrapText="1"/>
      <protection hidden="1"/>
    </xf>
    <xf numFmtId="0" fontId="44" fillId="0" borderId="0" xfId="0" applyFont="1" applyAlignment="1" applyProtection="1">
      <alignment horizontal="left" vertical="top" wrapText="1"/>
      <protection hidden="1"/>
    </xf>
    <xf numFmtId="0" fontId="16" fillId="8" borderId="39" xfId="0" applyFont="1" applyFill="1" applyBorder="1" applyAlignment="1" applyProtection="1">
      <alignment horizontal="left"/>
      <protection hidden="1"/>
    </xf>
    <xf numFmtId="3" fontId="16" fillId="8" borderId="57" xfId="0" applyNumberFormat="1" applyFont="1" applyFill="1" applyBorder="1" applyAlignment="1" applyProtection="1">
      <alignment horizontal="center"/>
      <protection hidden="1"/>
    </xf>
    <xf numFmtId="5" fontId="32" fillId="8" borderId="57" xfId="2" applyNumberFormat="1" applyFont="1" applyFill="1" applyBorder="1" applyAlignment="1" applyProtection="1">
      <alignment horizontal="center"/>
      <protection hidden="1"/>
    </xf>
    <xf numFmtId="169" fontId="32" fillId="3" borderId="57" xfId="0" applyNumberFormat="1" applyFont="1" applyFill="1" applyBorder="1" applyAlignment="1" applyProtection="1">
      <alignment horizontal="center"/>
      <protection hidden="1"/>
    </xf>
    <xf numFmtId="0" fontId="32" fillId="0" borderId="16" xfId="6" applyFont="1" applyBorder="1" applyAlignment="1" applyProtection="1">
      <alignment horizontal="left" vertical="center"/>
      <protection hidden="1"/>
    </xf>
    <xf numFmtId="3" fontId="40" fillId="3" borderId="56" xfId="0" applyNumberFormat="1" applyFont="1" applyFill="1" applyBorder="1" applyAlignment="1" applyProtection="1">
      <alignment horizontal="center" vertical="center"/>
      <protection hidden="1"/>
    </xf>
    <xf numFmtId="166" fontId="43" fillId="3" borderId="56" xfId="0" applyNumberFormat="1" applyFont="1" applyFill="1" applyBorder="1" applyAlignment="1" applyProtection="1">
      <alignment horizontal="center" vertical="center"/>
      <protection hidden="1"/>
    </xf>
    <xf numFmtId="169" fontId="10" fillId="3" borderId="17" xfId="0" applyNumberFormat="1" applyFont="1" applyFill="1" applyBorder="1" applyAlignment="1" applyProtection="1">
      <alignment horizontal="center" vertical="center"/>
      <protection hidden="1"/>
    </xf>
    <xf numFmtId="0" fontId="16" fillId="0" borderId="0" xfId="0" applyFont="1" applyAlignment="1" applyProtection="1">
      <alignment horizontal="left" vertical="top" wrapText="1"/>
      <protection hidden="1"/>
    </xf>
    <xf numFmtId="0" fontId="0" fillId="0" borderId="0" xfId="0" applyAlignment="1" applyProtection="1">
      <alignment horizontal="center" vertical="center"/>
      <protection hidden="1"/>
    </xf>
    <xf numFmtId="0" fontId="9" fillId="0" borderId="0" xfId="0" applyFont="1" applyAlignment="1" applyProtection="1">
      <alignment horizontal="center" vertical="center"/>
      <protection hidden="1"/>
    </xf>
    <xf numFmtId="0" fontId="16" fillId="0" borderId="4" xfId="0" applyFont="1" applyBorder="1" applyAlignment="1" applyProtection="1">
      <alignment vertical="center"/>
      <protection hidden="1"/>
    </xf>
    <xf numFmtId="0" fontId="16" fillId="8" borderId="6" xfId="0" applyFont="1" applyFill="1" applyBorder="1" applyAlignment="1" applyProtection="1">
      <alignment horizontal="center" vertical="center" wrapText="1"/>
      <protection locked="0" hidden="1"/>
    </xf>
    <xf numFmtId="0" fontId="26" fillId="0" borderId="0" xfId="0" applyFont="1" applyAlignment="1" applyProtection="1">
      <alignment vertical="center"/>
      <protection hidden="1"/>
    </xf>
    <xf numFmtId="3" fontId="16" fillId="3" borderId="5" xfId="0" applyNumberFormat="1" applyFont="1" applyFill="1" applyBorder="1" applyAlignment="1" applyProtection="1">
      <alignment horizontal="center" vertical="center"/>
      <protection hidden="1"/>
    </xf>
    <xf numFmtId="166" fontId="16" fillId="3" borderId="6" xfId="2" applyNumberFormat="1" applyFont="1" applyFill="1" applyBorder="1" applyAlignment="1" applyProtection="1">
      <alignment horizontal="center" vertical="center"/>
      <protection hidden="1"/>
    </xf>
    <xf numFmtId="0" fontId="0" fillId="0" borderId="5" xfId="0" applyBorder="1" applyProtection="1">
      <protection hidden="1"/>
    </xf>
    <xf numFmtId="3" fontId="16" fillId="8" borderId="6" xfId="0" applyNumberFormat="1" applyFont="1" applyFill="1" applyBorder="1" applyAlignment="1" applyProtection="1">
      <alignment horizontal="center" vertical="center" wrapText="1"/>
      <protection locked="0" hidden="1"/>
    </xf>
    <xf numFmtId="0" fontId="40" fillId="0" borderId="0" xfId="0" applyFont="1" applyAlignment="1" applyProtection="1">
      <alignment horizontal="left"/>
      <protection hidden="1"/>
    </xf>
    <xf numFmtId="3" fontId="17" fillId="3" borderId="5" xfId="0" applyNumberFormat="1" applyFont="1" applyFill="1" applyBorder="1" applyAlignment="1" applyProtection="1">
      <alignment horizontal="center" vertical="center"/>
      <protection hidden="1"/>
    </xf>
    <xf numFmtId="166" fontId="17" fillId="3" borderId="6" xfId="2" applyNumberFormat="1" applyFont="1" applyFill="1" applyBorder="1" applyAlignment="1" applyProtection="1">
      <alignment horizontal="center" vertical="center"/>
      <protection hidden="1"/>
    </xf>
    <xf numFmtId="166" fontId="26" fillId="0" borderId="0" xfId="0" applyNumberFormat="1" applyFont="1" applyAlignment="1" applyProtection="1">
      <alignment horizontal="center" vertical="center"/>
      <protection hidden="1"/>
    </xf>
    <xf numFmtId="0" fontId="15" fillId="0" borderId="8" xfId="0" applyFont="1" applyBorder="1" applyAlignment="1" applyProtection="1">
      <alignment vertical="center"/>
      <protection hidden="1"/>
    </xf>
    <xf numFmtId="0" fontId="15" fillId="4" borderId="53" xfId="0" applyFont="1" applyFill="1" applyBorder="1" applyAlignment="1" applyProtection="1">
      <alignment horizontal="center" vertical="center"/>
      <protection hidden="1"/>
    </xf>
    <xf numFmtId="0" fontId="16" fillId="0" borderId="8" xfId="0" applyFont="1" applyBorder="1" applyAlignment="1" applyProtection="1">
      <alignment horizontal="left" vertical="center"/>
      <protection hidden="1"/>
    </xf>
    <xf numFmtId="167" fontId="16" fillId="8" borderId="6" xfId="2" applyNumberFormat="1" applyFont="1" applyFill="1" applyBorder="1" applyAlignment="1" applyProtection="1">
      <alignment horizontal="center" vertical="center"/>
      <protection locked="0" hidden="1"/>
    </xf>
    <xf numFmtId="166" fontId="0" fillId="0" borderId="0" xfId="0" applyNumberFormat="1" applyAlignment="1" applyProtection="1">
      <alignment horizontal="center" vertical="center"/>
      <protection hidden="1"/>
    </xf>
    <xf numFmtId="166" fontId="15" fillId="3" borderId="9" xfId="0" applyNumberFormat="1" applyFont="1" applyFill="1" applyBorder="1" applyAlignment="1" applyProtection="1">
      <alignment horizontal="center" vertical="center"/>
      <protection hidden="1"/>
    </xf>
    <xf numFmtId="0" fontId="23" fillId="0" borderId="0" xfId="0" applyFont="1" applyAlignment="1" applyProtection="1">
      <alignment vertical="top"/>
      <protection hidden="1"/>
    </xf>
    <xf numFmtId="0" fontId="15" fillId="0" borderId="0" xfId="0" applyFont="1" applyAlignment="1" applyProtection="1">
      <alignment vertical="center"/>
      <protection hidden="1"/>
    </xf>
    <xf numFmtId="0" fontId="15" fillId="0" borderId="49" xfId="0" applyFont="1" applyBorder="1" applyAlignment="1" applyProtection="1">
      <alignment vertical="center"/>
      <protection hidden="1"/>
    </xf>
    <xf numFmtId="9" fontId="16" fillId="8" borderId="6" xfId="3" applyFont="1" applyFill="1" applyBorder="1" applyAlignment="1" applyProtection="1">
      <alignment horizontal="center" vertical="center"/>
      <protection locked="0" hidden="1"/>
    </xf>
    <xf numFmtId="0" fontId="5" fillId="0" borderId="0" xfId="0" applyFont="1" applyAlignment="1" applyProtection="1">
      <alignment horizontal="left"/>
      <protection hidden="1"/>
    </xf>
    <xf numFmtId="0" fontId="16" fillId="0" borderId="7" xfId="0" applyFont="1" applyBorder="1" applyAlignment="1" applyProtection="1">
      <alignment vertical="center"/>
      <protection hidden="1"/>
    </xf>
    <xf numFmtId="167" fontId="16" fillId="8" borderId="9" xfId="2" applyNumberFormat="1" applyFont="1" applyFill="1" applyBorder="1" applyAlignment="1" applyProtection="1">
      <alignment horizontal="center" vertical="center"/>
      <protection locked="0" hidden="1"/>
    </xf>
    <xf numFmtId="0" fontId="8" fillId="0" borderId="0" xfId="0" applyFont="1" applyAlignment="1" applyProtection="1">
      <alignment horizontal="left"/>
      <protection hidden="1"/>
    </xf>
    <xf numFmtId="0" fontId="15" fillId="6" borderId="4" xfId="0" applyFont="1" applyFill="1" applyBorder="1" applyAlignment="1" applyProtection="1">
      <alignment horizontal="center" vertical="center"/>
      <protection hidden="1"/>
    </xf>
    <xf numFmtId="0" fontId="15" fillId="2" borderId="5" xfId="0" applyFont="1" applyFill="1" applyBorder="1" applyAlignment="1" applyProtection="1">
      <alignment horizontal="center" vertical="center"/>
      <protection hidden="1"/>
    </xf>
    <xf numFmtId="0" fontId="15" fillId="2" borderId="6" xfId="0" applyFont="1" applyFill="1" applyBorder="1" applyAlignment="1" applyProtection="1">
      <alignment horizontal="center" vertical="center"/>
      <protection hidden="1"/>
    </xf>
    <xf numFmtId="0" fontId="16" fillId="0" borderId="45" xfId="0" applyFont="1" applyBorder="1" applyAlignment="1" applyProtection="1">
      <alignment vertical="center"/>
      <protection hidden="1"/>
    </xf>
    <xf numFmtId="166" fontId="16" fillId="3" borderId="4" xfId="0" applyNumberFormat="1" applyFont="1" applyFill="1" applyBorder="1" applyAlignment="1" applyProtection="1">
      <alignment horizontal="center" vertical="center"/>
      <protection hidden="1"/>
    </xf>
    <xf numFmtId="166" fontId="16" fillId="3" borderId="5" xfId="0" applyNumberFormat="1" applyFont="1" applyFill="1" applyBorder="1" applyAlignment="1" applyProtection="1">
      <alignment horizontal="center" vertical="center"/>
      <protection hidden="1"/>
    </xf>
    <xf numFmtId="166" fontId="16" fillId="3" borderId="6" xfId="0" applyNumberFormat="1" applyFont="1" applyFill="1" applyBorder="1" applyAlignment="1" applyProtection="1">
      <alignment horizontal="center" vertical="center"/>
      <protection hidden="1"/>
    </xf>
    <xf numFmtId="6" fontId="0" fillId="0" borderId="0" xfId="0" applyNumberFormat="1" applyAlignment="1" applyProtection="1">
      <alignment horizontal="center" vertical="center"/>
      <protection hidden="1"/>
    </xf>
    <xf numFmtId="0" fontId="16" fillId="0" borderId="46" xfId="0" applyFont="1" applyBorder="1" applyAlignment="1" applyProtection="1">
      <alignment vertical="center"/>
      <protection hidden="1"/>
    </xf>
    <xf numFmtId="3" fontId="17" fillId="8" borderId="6" xfId="0" applyNumberFormat="1" applyFont="1" applyFill="1" applyBorder="1" applyAlignment="1" applyProtection="1">
      <alignment horizontal="center" vertical="center"/>
      <protection hidden="1"/>
    </xf>
    <xf numFmtId="0" fontId="16" fillId="0" borderId="47" xfId="0" applyFont="1" applyBorder="1" applyAlignment="1" applyProtection="1">
      <alignment vertical="center"/>
      <protection hidden="1"/>
    </xf>
    <xf numFmtId="3" fontId="16" fillId="0" borderId="7" xfId="0" applyNumberFormat="1" applyFont="1" applyBorder="1" applyAlignment="1" applyProtection="1">
      <alignment horizontal="center" vertical="center"/>
      <protection hidden="1"/>
    </xf>
    <xf numFmtId="3" fontId="16" fillId="0" borderId="8" xfId="0" applyNumberFormat="1" applyFont="1" applyBorder="1" applyAlignment="1" applyProtection="1">
      <alignment horizontal="center" vertical="center"/>
      <protection hidden="1"/>
    </xf>
    <xf numFmtId="3" fontId="16" fillId="5" borderId="8" xfId="0" applyNumberFormat="1" applyFont="1" applyFill="1" applyBorder="1" applyAlignment="1" applyProtection="1">
      <alignment horizontal="center" vertical="center"/>
      <protection hidden="1"/>
    </xf>
    <xf numFmtId="3" fontId="16" fillId="0" borderId="9" xfId="0" applyNumberFormat="1" applyFont="1" applyBorder="1" applyAlignment="1" applyProtection="1">
      <alignment horizontal="center" vertical="center"/>
      <protection hidden="1"/>
    </xf>
    <xf numFmtId="3" fontId="6" fillId="0" borderId="0" xfId="0" applyNumberFormat="1" applyFont="1" applyAlignment="1" applyProtection="1">
      <alignment horizontal="center" vertical="center"/>
      <protection hidden="1"/>
    </xf>
    <xf numFmtId="165" fontId="6" fillId="0" borderId="0" xfId="0" applyNumberFormat="1" applyFont="1" applyAlignment="1" applyProtection="1">
      <alignment horizontal="center" vertical="center"/>
      <protection hidden="1"/>
    </xf>
    <xf numFmtId="3" fontId="16" fillId="8" borderId="9" xfId="0" applyNumberFormat="1" applyFont="1" applyFill="1" applyBorder="1" applyAlignment="1" applyProtection="1">
      <alignment horizontal="center" vertical="center"/>
      <protection hidden="1"/>
    </xf>
    <xf numFmtId="0" fontId="15" fillId="0" borderId="2" xfId="0" applyFont="1" applyBorder="1" applyAlignment="1" applyProtection="1">
      <alignment vertical="center"/>
      <protection hidden="1"/>
    </xf>
    <xf numFmtId="0" fontId="15" fillId="2" borderId="2" xfId="0" applyFont="1" applyFill="1" applyBorder="1" applyAlignment="1" applyProtection="1">
      <alignment vertical="center"/>
      <protection hidden="1"/>
    </xf>
    <xf numFmtId="0" fontId="15" fillId="0" borderId="4" xfId="0" applyFont="1" applyBorder="1" applyAlignment="1" applyProtection="1">
      <alignment vertical="center"/>
      <protection hidden="1"/>
    </xf>
    <xf numFmtId="166" fontId="15" fillId="3" borderId="6" xfId="0" applyNumberFormat="1" applyFont="1" applyFill="1" applyBorder="1" applyAlignment="1" applyProtection="1">
      <alignment horizontal="center" vertical="center"/>
      <protection hidden="1"/>
    </xf>
    <xf numFmtId="0" fontId="15" fillId="0" borderId="5" xfId="0" applyFont="1" applyBorder="1" applyAlignment="1" applyProtection="1">
      <alignment vertical="center"/>
      <protection hidden="1"/>
    </xf>
    <xf numFmtId="0" fontId="15" fillId="2" borderId="5" xfId="0" applyFont="1" applyFill="1" applyBorder="1" applyAlignment="1" applyProtection="1">
      <alignment vertical="center"/>
      <protection hidden="1"/>
    </xf>
    <xf numFmtId="0" fontId="16" fillId="0" borderId="4" xfId="0" applyFont="1" applyBorder="1" applyAlignment="1" applyProtection="1">
      <alignment horizontal="left" vertical="center" wrapText="1"/>
      <protection hidden="1"/>
    </xf>
    <xf numFmtId="166" fontId="17" fillId="8" borderId="6" xfId="0" applyNumberFormat="1" applyFont="1" applyFill="1" applyBorder="1" applyAlignment="1" applyProtection="1">
      <alignment horizontal="center" vertical="center"/>
      <protection hidden="1"/>
    </xf>
    <xf numFmtId="3" fontId="15" fillId="3" borderId="5" xfId="0" applyNumberFormat="1" applyFont="1" applyFill="1" applyBorder="1" applyAlignment="1" applyProtection="1">
      <alignment horizontal="center" vertical="center"/>
      <protection hidden="1"/>
    </xf>
    <xf numFmtId="165" fontId="15" fillId="3" borderId="5" xfId="2" applyNumberFormat="1" applyFont="1" applyFill="1" applyBorder="1" applyAlignment="1" applyProtection="1">
      <alignment horizontal="center" vertical="center"/>
      <protection hidden="1"/>
    </xf>
    <xf numFmtId="0" fontId="15" fillId="3" borderId="5" xfId="0" applyFont="1" applyFill="1" applyBorder="1" applyAlignment="1" applyProtection="1">
      <alignment vertical="center"/>
      <protection hidden="1"/>
    </xf>
    <xf numFmtId="44" fontId="15" fillId="3" borderId="5" xfId="2" applyFont="1" applyFill="1" applyBorder="1" applyAlignment="1" applyProtection="1">
      <alignment horizontal="center" vertical="center"/>
      <protection hidden="1"/>
    </xf>
    <xf numFmtId="44" fontId="14" fillId="3" borderId="6" xfId="2" applyFont="1" applyFill="1" applyBorder="1" applyAlignment="1" applyProtection="1">
      <alignment vertical="center"/>
      <protection hidden="1"/>
    </xf>
    <xf numFmtId="166" fontId="16" fillId="8" borderId="9" xfId="0" applyNumberFormat="1" applyFont="1" applyFill="1" applyBorder="1" applyAlignment="1" applyProtection="1">
      <alignment horizontal="center" vertical="center"/>
      <protection hidden="1"/>
    </xf>
    <xf numFmtId="0" fontId="15" fillId="0" borderId="7" xfId="0" applyFont="1" applyBorder="1" applyAlignment="1" applyProtection="1">
      <alignment vertical="center"/>
      <protection hidden="1"/>
    </xf>
    <xf numFmtId="0" fontId="15" fillId="3" borderId="9" xfId="0" applyFont="1" applyFill="1" applyBorder="1" applyAlignment="1" applyProtection="1">
      <alignment horizontal="center" vertical="center" wrapText="1"/>
      <protection hidden="1"/>
    </xf>
    <xf numFmtId="3" fontId="15" fillId="3" borderId="8" xfId="0" applyNumberFormat="1" applyFont="1" applyFill="1" applyBorder="1" applyAlignment="1" applyProtection="1">
      <alignment horizontal="center" vertical="center"/>
      <protection hidden="1"/>
    </xf>
    <xf numFmtId="0" fontId="15" fillId="3" borderId="8" xfId="0" applyFont="1" applyFill="1" applyBorder="1" applyAlignment="1" applyProtection="1">
      <alignment vertical="center"/>
      <protection hidden="1"/>
    </xf>
    <xf numFmtId="165" fontId="15" fillId="3" borderId="8" xfId="2" applyNumberFormat="1" applyFont="1" applyFill="1" applyBorder="1" applyAlignment="1" applyProtection="1">
      <alignment horizontal="center" vertical="center"/>
      <protection hidden="1"/>
    </xf>
    <xf numFmtId="44" fontId="15" fillId="3" borderId="8" xfId="2" applyFont="1" applyFill="1" applyBorder="1" applyAlignment="1" applyProtection="1">
      <alignment horizontal="center" vertical="center"/>
      <protection hidden="1"/>
    </xf>
    <xf numFmtId="0" fontId="15" fillId="2" borderId="8" xfId="0" applyFont="1" applyFill="1" applyBorder="1" applyAlignment="1" applyProtection="1">
      <alignment vertical="center"/>
      <protection hidden="1"/>
    </xf>
    <xf numFmtId="44" fontId="14" fillId="3" borderId="9" xfId="2" applyFont="1" applyFill="1" applyBorder="1" applyAlignment="1" applyProtection="1">
      <alignment vertical="center"/>
      <protection hidden="1"/>
    </xf>
    <xf numFmtId="0" fontId="16" fillId="0" borderId="4" xfId="0" applyFont="1" applyBorder="1" applyAlignment="1" applyProtection="1">
      <alignment horizontal="left" vertical="center"/>
      <protection hidden="1"/>
    </xf>
    <xf numFmtId="6" fontId="16" fillId="8" borderId="6" xfId="0" applyNumberFormat="1" applyFont="1" applyFill="1" applyBorder="1" applyAlignment="1" applyProtection="1">
      <alignment horizontal="center" vertical="center"/>
      <protection hidden="1"/>
    </xf>
    <xf numFmtId="0" fontId="7" fillId="0" borderId="0" xfId="0" applyFont="1" applyAlignment="1" applyProtection="1">
      <alignment vertical="top"/>
      <protection hidden="1"/>
    </xf>
    <xf numFmtId="0" fontId="16" fillId="0" borderId="41" xfId="0" applyFont="1" applyBorder="1" applyAlignment="1" applyProtection="1">
      <alignment horizontal="left" vertical="center"/>
      <protection hidden="1"/>
    </xf>
    <xf numFmtId="6" fontId="16" fillId="8" borderId="42" xfId="0" applyNumberFormat="1" applyFont="1" applyFill="1" applyBorder="1" applyAlignment="1" applyProtection="1">
      <alignment horizontal="center" vertical="center"/>
      <protection hidden="1"/>
    </xf>
    <xf numFmtId="0" fontId="16" fillId="0" borderId="19" xfId="0" applyFont="1" applyBorder="1" applyAlignment="1" applyProtection="1">
      <alignment vertical="center"/>
      <protection hidden="1"/>
    </xf>
    <xf numFmtId="0" fontId="16" fillId="0" borderId="22" xfId="0" applyFont="1" applyBorder="1" applyAlignment="1" applyProtection="1">
      <alignment vertical="center"/>
      <protection hidden="1"/>
    </xf>
    <xf numFmtId="0" fontId="21" fillId="0" borderId="0" xfId="0" applyFont="1" applyAlignment="1" applyProtection="1">
      <alignment vertical="top" wrapText="1"/>
      <protection hidden="1"/>
    </xf>
    <xf numFmtId="0" fontId="37" fillId="0" borderId="0" xfId="0" applyFont="1" applyAlignment="1">
      <alignment horizontal="center"/>
    </xf>
    <xf numFmtId="0" fontId="10" fillId="0" borderId="0" xfId="0" applyFont="1" applyAlignment="1">
      <alignment horizontal="left" vertical="top" wrapText="1"/>
    </xf>
    <xf numFmtId="0" fontId="14" fillId="9" borderId="59" xfId="0" applyFont="1" applyFill="1" applyBorder="1" applyAlignment="1">
      <alignment horizontal="center" vertical="center" wrapText="1"/>
    </xf>
    <xf numFmtId="0" fontId="14" fillId="10" borderId="59" xfId="0" applyFont="1" applyFill="1" applyBorder="1" applyAlignment="1">
      <alignment horizontal="center" vertical="center" wrapText="1"/>
    </xf>
    <xf numFmtId="0" fontId="39" fillId="11" borderId="59" xfId="0" applyFont="1" applyFill="1" applyBorder="1" applyAlignment="1">
      <alignment horizontal="center" vertical="center" wrapText="1"/>
    </xf>
    <xf numFmtId="0" fontId="14" fillId="12" borderId="59" xfId="0" applyFont="1" applyFill="1" applyBorder="1" applyAlignment="1">
      <alignment horizontal="center" vertical="center" wrapText="1"/>
    </xf>
    <xf numFmtId="0" fontId="15" fillId="4" borderId="20" xfId="0" applyFont="1" applyFill="1" applyBorder="1" applyAlignment="1" applyProtection="1">
      <alignment horizontal="left" vertical="center"/>
      <protection hidden="1"/>
    </xf>
    <xf numFmtId="0" fontId="15" fillId="4" borderId="21" xfId="0" applyFont="1" applyFill="1" applyBorder="1" applyAlignment="1" applyProtection="1">
      <alignment horizontal="left" vertical="center"/>
      <protection hidden="1"/>
    </xf>
    <xf numFmtId="0" fontId="42" fillId="0" borderId="0" xfId="0" applyFont="1" applyAlignment="1">
      <alignment horizontal="left" vertical="top" wrapText="1"/>
    </xf>
    <xf numFmtId="0" fontId="31" fillId="0" borderId="5" xfId="0" applyFont="1" applyBorder="1" applyAlignment="1">
      <alignment vertical="top" wrapText="1"/>
    </xf>
    <xf numFmtId="0" fontId="16" fillId="0" borderId="5" xfId="0" applyFont="1" applyBorder="1" applyAlignment="1">
      <alignment vertical="top" wrapText="1"/>
    </xf>
    <xf numFmtId="0" fontId="31" fillId="0" borderId="5" xfId="0" applyFont="1" applyBorder="1" applyAlignment="1">
      <alignment vertical="top"/>
    </xf>
    <xf numFmtId="0" fontId="15" fillId="0" borderId="5" xfId="0" applyFont="1" applyBorder="1" applyAlignment="1">
      <alignment vertical="top" wrapText="1"/>
    </xf>
    <xf numFmtId="0" fontId="16" fillId="0" borderId="23" xfId="0" applyFont="1" applyBorder="1" applyAlignment="1" applyProtection="1">
      <alignment vertical="top" wrapText="1"/>
      <protection hidden="1"/>
    </xf>
    <xf numFmtId="3" fontId="0" fillId="0" borderId="36" xfId="0" applyNumberFormat="1" applyBorder="1" applyAlignment="1" applyProtection="1">
      <alignment horizontal="center"/>
      <protection hidden="1"/>
    </xf>
    <xf numFmtId="0" fontId="15" fillId="0" borderId="30" xfId="0" applyFont="1" applyBorder="1" applyAlignment="1" applyProtection="1">
      <alignment horizontal="left" vertical="center" indent="2"/>
      <protection hidden="1"/>
    </xf>
    <xf numFmtId="0" fontId="29" fillId="8" borderId="4" xfId="6" applyFont="1" applyFill="1" applyBorder="1" applyAlignment="1" applyProtection="1">
      <alignment horizontal="left"/>
      <protection hidden="1"/>
    </xf>
    <xf numFmtId="166" fontId="29" fillId="3" borderId="5" xfId="0" applyNumberFormat="1" applyFont="1" applyFill="1" applyBorder="1" applyAlignment="1" applyProtection="1">
      <alignment horizontal="center"/>
      <protection hidden="1"/>
    </xf>
    <xf numFmtId="169" fontId="29" fillId="3" borderId="6" xfId="0" applyNumberFormat="1" applyFont="1" applyFill="1" applyBorder="1" applyAlignment="1" applyProtection="1">
      <alignment horizontal="center"/>
      <protection hidden="1"/>
    </xf>
    <xf numFmtId="0" fontId="29" fillId="8" borderId="7" xfId="6" applyFont="1" applyFill="1" applyBorder="1" applyAlignment="1" applyProtection="1">
      <alignment horizontal="left"/>
      <protection hidden="1"/>
    </xf>
    <xf numFmtId="166" fontId="29" fillId="3" borderId="8" xfId="0" applyNumberFormat="1" applyFont="1" applyFill="1" applyBorder="1" applyAlignment="1" applyProtection="1">
      <alignment horizontal="center"/>
      <protection hidden="1"/>
    </xf>
    <xf numFmtId="169" fontId="29" fillId="3" borderId="9" xfId="0" applyNumberFormat="1" applyFont="1" applyFill="1" applyBorder="1" applyAlignment="1" applyProtection="1">
      <alignment horizontal="center"/>
      <protection hidden="1"/>
    </xf>
    <xf numFmtId="0" fontId="15" fillId="0" borderId="27" xfId="0" applyFont="1" applyBorder="1"/>
    <xf numFmtId="0" fontId="16" fillId="0" borderId="29" xfId="0" applyFont="1" applyBorder="1" applyAlignment="1">
      <alignment vertical="top"/>
    </xf>
    <xf numFmtId="0" fontId="16" fillId="0" borderId="29" xfId="0" applyFont="1" applyBorder="1" applyAlignment="1">
      <alignment vertical="top" wrapText="1"/>
    </xf>
    <xf numFmtId="166" fontId="15" fillId="3" borderId="4" xfId="0" applyNumberFormat="1" applyFont="1" applyFill="1" applyBorder="1" applyAlignment="1" applyProtection="1">
      <alignment horizontal="center" vertical="center"/>
      <protection hidden="1"/>
    </xf>
    <xf numFmtId="0" fontId="5" fillId="0" borderId="1" xfId="0" applyFont="1" applyBorder="1" applyAlignment="1" applyProtection="1">
      <alignment vertical="center" wrapText="1"/>
      <protection hidden="1"/>
    </xf>
    <xf numFmtId="0" fontId="5" fillId="0" borderId="29" xfId="0" applyFont="1" applyBorder="1" applyAlignment="1" applyProtection="1">
      <alignment horizontal="left" vertical="center" indent="2"/>
      <protection hidden="1"/>
    </xf>
    <xf numFmtId="0" fontId="47" fillId="0" borderId="0" xfId="8" applyFont="1" applyBorder="1" applyAlignment="1" applyProtection="1">
      <alignment vertical="center"/>
      <protection hidden="1"/>
    </xf>
    <xf numFmtId="0" fontId="0" fillId="0" borderId="25" xfId="0" applyBorder="1" applyProtection="1">
      <protection hidden="1"/>
    </xf>
    <xf numFmtId="0" fontId="16" fillId="0" borderId="0" xfId="0" applyFont="1" applyAlignment="1" applyProtection="1">
      <alignment vertical="center" wrapText="1"/>
      <protection hidden="1"/>
    </xf>
    <xf numFmtId="0" fontId="18" fillId="0" borderId="0" xfId="0" applyFont="1" applyAlignment="1" applyProtection="1">
      <alignment vertical="center"/>
      <protection hidden="1"/>
    </xf>
    <xf numFmtId="0" fontId="29" fillId="0" borderId="0" xfId="0" applyFont="1" applyAlignment="1" applyProtection="1">
      <alignment vertical="top"/>
      <protection hidden="1"/>
    </xf>
    <xf numFmtId="0" fontId="29" fillId="8" borderId="4" xfId="6" applyFont="1" applyFill="1" applyBorder="1" applyAlignment="1" applyProtection="1">
      <alignment horizontal="left" wrapText="1"/>
      <protection hidden="1"/>
    </xf>
    <xf numFmtId="0" fontId="29" fillId="8" borderId="7" xfId="6" applyFont="1" applyFill="1" applyBorder="1" applyAlignment="1" applyProtection="1">
      <alignment horizontal="left" wrapText="1"/>
      <protection hidden="1"/>
    </xf>
    <xf numFmtId="164" fontId="16" fillId="8" borderId="2" xfId="0" applyNumberFormat="1" applyFont="1" applyFill="1" applyBorder="1" applyAlignment="1" applyProtection="1">
      <alignment horizontal="center" vertical="center" wrapText="1"/>
      <protection hidden="1"/>
    </xf>
    <xf numFmtId="0" fontId="16" fillId="0" borderId="0" xfId="0" applyFont="1" applyAlignment="1" applyProtection="1">
      <alignment horizontal="left" indent="1"/>
      <protection hidden="1"/>
    </xf>
    <xf numFmtId="0" fontId="16" fillId="0" borderId="30" xfId="0" applyFont="1" applyBorder="1" applyAlignment="1">
      <alignment vertical="top"/>
    </xf>
    <xf numFmtId="0" fontId="50" fillId="0" borderId="25" xfId="8" applyFont="1" applyBorder="1" applyAlignment="1" applyProtection="1">
      <alignment horizontal="left" vertical="center" wrapText="1"/>
      <protection hidden="1"/>
    </xf>
    <xf numFmtId="0" fontId="12" fillId="0" borderId="0" xfId="0" applyFont="1" applyAlignment="1" applyProtection="1">
      <alignment vertical="center" wrapText="1"/>
      <protection hidden="1"/>
    </xf>
    <xf numFmtId="0" fontId="52" fillId="0" borderId="0" xfId="0" applyFont="1" applyAlignment="1" applyProtection="1">
      <alignment horizontal="center" vertical="center" wrapText="1"/>
      <protection hidden="1"/>
    </xf>
    <xf numFmtId="0" fontId="37" fillId="0" borderId="0" xfId="0" applyFont="1" applyProtection="1">
      <protection hidden="1"/>
    </xf>
    <xf numFmtId="0" fontId="15" fillId="0" borderId="0" xfId="0" applyFont="1" applyAlignment="1" applyProtection="1">
      <alignment horizontal="left" vertical="top" indent="2"/>
      <protection hidden="1"/>
    </xf>
    <xf numFmtId="3" fontId="16" fillId="0" borderId="0" xfId="0" applyNumberFormat="1" applyFont="1" applyAlignment="1" applyProtection="1">
      <alignment horizontal="center" vertical="top"/>
      <protection hidden="1"/>
    </xf>
    <xf numFmtId="0" fontId="14" fillId="9" borderId="59" xfId="0" applyFont="1" applyFill="1" applyBorder="1" applyAlignment="1" applyProtection="1">
      <alignment horizontal="center" vertical="center" wrapText="1"/>
      <protection hidden="1"/>
    </xf>
    <xf numFmtId="0" fontId="14" fillId="10" borderId="59" xfId="0" applyFont="1" applyFill="1" applyBorder="1" applyAlignment="1" applyProtection="1">
      <alignment horizontal="center" vertical="center" wrapText="1"/>
      <protection hidden="1"/>
    </xf>
    <xf numFmtId="0" fontId="39" fillId="11" borderId="59" xfId="0" applyFont="1" applyFill="1" applyBorder="1" applyAlignment="1" applyProtection="1">
      <alignment horizontal="center" vertical="center" wrapText="1"/>
      <protection hidden="1"/>
    </xf>
    <xf numFmtId="0" fontId="14" fillId="12" borderId="59" xfId="0" applyFont="1" applyFill="1" applyBorder="1" applyAlignment="1" applyProtection="1">
      <alignment horizontal="center" vertical="center" wrapText="1"/>
      <protection hidden="1"/>
    </xf>
    <xf numFmtId="0" fontId="0" fillId="0" borderId="0" xfId="0" applyAlignment="1">
      <alignment vertical="center" wrapText="1"/>
    </xf>
    <xf numFmtId="0" fontId="37" fillId="0" borderId="49" xfId="0" applyFont="1" applyBorder="1" applyAlignment="1" applyProtection="1">
      <alignment horizontal="center"/>
      <protection hidden="1"/>
    </xf>
    <xf numFmtId="0" fontId="39" fillId="0" borderId="29" xfId="0" applyFont="1" applyBorder="1" applyAlignment="1" applyProtection="1">
      <alignment horizontal="left" vertical="center" wrapText="1"/>
      <protection hidden="1"/>
    </xf>
    <xf numFmtId="0" fontId="39" fillId="0" borderId="30" xfId="0" applyFont="1" applyBorder="1" applyAlignment="1" applyProtection="1">
      <alignment horizontal="left" vertical="center" wrapText="1"/>
      <protection hidden="1"/>
    </xf>
    <xf numFmtId="0" fontId="52" fillId="9" borderId="44" xfId="0" applyFont="1" applyFill="1" applyBorder="1" applyAlignment="1" applyProtection="1">
      <alignment horizontal="center" vertical="center" wrapText="1"/>
      <protection hidden="1"/>
    </xf>
    <xf numFmtId="0" fontId="52" fillId="10" borderId="55" xfId="0" applyFont="1" applyFill="1" applyBorder="1" applyAlignment="1" applyProtection="1">
      <alignment horizontal="center" vertical="center" wrapText="1"/>
      <protection hidden="1"/>
    </xf>
    <xf numFmtId="0" fontId="54" fillId="11" borderId="55" xfId="0" applyFont="1" applyFill="1" applyBorder="1" applyAlignment="1" applyProtection="1">
      <alignment horizontal="center" vertical="center" wrapText="1"/>
      <protection hidden="1"/>
    </xf>
    <xf numFmtId="0" fontId="52" fillId="12" borderId="47" xfId="0" applyFont="1" applyFill="1" applyBorder="1" applyAlignment="1" applyProtection="1">
      <alignment horizontal="center" vertical="center" wrapText="1"/>
      <protection hidden="1"/>
    </xf>
    <xf numFmtId="0" fontId="39" fillId="0" borderId="5" xfId="0" applyFont="1" applyBorder="1" applyAlignment="1" applyProtection="1">
      <alignment vertical="center"/>
      <protection hidden="1"/>
    </xf>
    <xf numFmtId="0" fontId="39" fillId="0" borderId="5" xfId="0" applyFont="1" applyBorder="1" applyAlignment="1" applyProtection="1">
      <alignment horizontal="left" vertical="center"/>
      <protection hidden="1"/>
    </xf>
    <xf numFmtId="3" fontId="24" fillId="11" borderId="5" xfId="0" applyNumberFormat="1" applyFont="1" applyFill="1" applyBorder="1" applyAlignment="1" applyProtection="1">
      <alignment horizontal="center" vertical="center"/>
      <protection hidden="1"/>
    </xf>
    <xf numFmtId="164" fontId="16" fillId="4" borderId="5" xfId="0" applyNumberFormat="1" applyFont="1" applyFill="1" applyBorder="1" applyAlignment="1" applyProtection="1">
      <alignment horizontal="center" vertical="center" wrapText="1"/>
      <protection hidden="1"/>
    </xf>
    <xf numFmtId="0" fontId="7" fillId="0" borderId="0" xfId="0" applyFont="1" applyAlignment="1" applyProtection="1">
      <alignment vertical="top" wrapText="1"/>
      <protection hidden="1"/>
    </xf>
    <xf numFmtId="164" fontId="16" fillId="3" borderId="5" xfId="0" applyNumberFormat="1" applyFont="1" applyFill="1" applyBorder="1" applyAlignment="1" applyProtection="1">
      <alignment horizontal="center" vertical="center" wrapText="1"/>
      <protection hidden="1"/>
    </xf>
    <xf numFmtId="0" fontId="7" fillId="4" borderId="6" xfId="0" applyFont="1" applyFill="1" applyBorder="1" applyAlignment="1" applyProtection="1">
      <alignment horizontal="center" vertical="center"/>
      <protection hidden="1"/>
    </xf>
    <xf numFmtId="10" fontId="16" fillId="4" borderId="9" xfId="3" applyNumberFormat="1" applyFont="1" applyFill="1" applyBorder="1" applyAlignment="1" applyProtection="1">
      <alignment horizontal="center" vertical="center"/>
      <protection hidden="1"/>
    </xf>
    <xf numFmtId="10" fontId="16" fillId="4" borderId="6" xfId="3" applyNumberFormat="1" applyFont="1" applyFill="1" applyBorder="1" applyAlignment="1" applyProtection="1">
      <alignment horizontal="center" vertical="center"/>
      <protection hidden="1"/>
    </xf>
    <xf numFmtId="0" fontId="16" fillId="7" borderId="5" xfId="0" applyFont="1" applyFill="1" applyBorder="1" applyAlignment="1" applyProtection="1">
      <alignment horizontal="center" vertical="center" wrapText="1"/>
      <protection locked="0"/>
    </xf>
    <xf numFmtId="3" fontId="16" fillId="7" borderId="5" xfId="0" applyNumberFormat="1" applyFont="1" applyFill="1" applyBorder="1" applyAlignment="1" applyProtection="1">
      <alignment horizontal="center" vertical="center" wrapText="1"/>
      <protection locked="0"/>
    </xf>
    <xf numFmtId="164" fontId="24" fillId="9" borderId="5" xfId="0" applyNumberFormat="1" applyFont="1" applyFill="1" applyBorder="1" applyAlignment="1" applyProtection="1">
      <alignment horizontal="center" vertical="center" wrapText="1"/>
      <protection locked="0"/>
    </xf>
    <xf numFmtId="9" fontId="24" fillId="9" borderId="5" xfId="0" applyNumberFormat="1" applyFont="1" applyFill="1" applyBorder="1" applyAlignment="1" applyProtection="1">
      <alignment horizontal="center" vertical="center"/>
      <protection locked="0"/>
    </xf>
    <xf numFmtId="3" fontId="16" fillId="7" borderId="5" xfId="0" applyNumberFormat="1" applyFont="1" applyFill="1" applyBorder="1" applyAlignment="1" applyProtection="1">
      <alignment horizontal="center" vertical="center"/>
      <protection locked="0"/>
    </xf>
    <xf numFmtId="167" fontId="16" fillId="7" borderId="5" xfId="2" applyNumberFormat="1" applyFont="1" applyFill="1" applyBorder="1" applyAlignment="1" applyProtection="1">
      <alignment horizontal="center" vertical="center"/>
      <protection locked="0"/>
    </xf>
    <xf numFmtId="9" fontId="16" fillId="7" borderId="5" xfId="3" applyFont="1" applyFill="1" applyBorder="1" applyAlignment="1" applyProtection="1">
      <alignment horizontal="center" vertical="center"/>
      <protection locked="0"/>
    </xf>
    <xf numFmtId="3" fontId="29" fillId="7" borderId="5" xfId="1" applyNumberFormat="1" applyFont="1" applyFill="1" applyBorder="1" applyAlignment="1" applyProtection="1">
      <alignment horizontal="center" vertical="center"/>
      <protection locked="0"/>
    </xf>
    <xf numFmtId="0" fontId="16" fillId="7" borderId="5" xfId="6" applyFont="1" applyFill="1" applyBorder="1" applyAlignment="1" applyProtection="1">
      <alignment vertical="center"/>
      <protection locked="0"/>
    </xf>
    <xf numFmtId="0" fontId="27" fillId="7" borderId="5" xfId="4" applyFont="1" applyFill="1" applyBorder="1" applyAlignment="1" applyProtection="1">
      <alignment vertical="center"/>
      <protection locked="0"/>
    </xf>
    <xf numFmtId="3" fontId="48" fillId="7" borderId="5" xfId="1" applyNumberFormat="1" applyFont="1" applyFill="1" applyBorder="1" applyAlignment="1" applyProtection="1">
      <alignment horizontal="center" vertical="center"/>
      <protection locked="0"/>
    </xf>
    <xf numFmtId="0" fontId="29" fillId="7" borderId="5" xfId="4" applyFont="1" applyFill="1" applyBorder="1" applyAlignment="1" applyProtection="1">
      <alignment vertical="center"/>
      <protection locked="0"/>
    </xf>
    <xf numFmtId="0" fontId="29" fillId="7" borderId="5" xfId="4" applyFont="1" applyFill="1" applyBorder="1" applyAlignment="1" applyProtection="1">
      <alignment horizontal="left" vertical="center"/>
      <protection locked="0"/>
    </xf>
    <xf numFmtId="3" fontId="16" fillId="7" borderId="5" xfId="6" applyNumberFormat="1" applyFont="1" applyFill="1" applyBorder="1" applyAlignment="1" applyProtection="1">
      <alignment horizontal="center" vertical="center"/>
      <protection locked="0"/>
    </xf>
    <xf numFmtId="0" fontId="16" fillId="7" borderId="5" xfId="6" applyFont="1" applyFill="1" applyBorder="1" applyAlignment="1" applyProtection="1">
      <alignment horizontal="center" vertical="center"/>
      <protection locked="0"/>
    </xf>
    <xf numFmtId="166" fontId="29" fillId="7" borderId="4" xfId="5" applyNumberFormat="1" applyFont="1" applyFill="1" applyBorder="1" applyAlignment="1" applyProtection="1">
      <alignment horizontal="center"/>
      <protection locked="0"/>
    </xf>
    <xf numFmtId="166" fontId="29" fillId="7" borderId="5" xfId="5" applyNumberFormat="1" applyFont="1" applyFill="1" applyBorder="1" applyAlignment="1" applyProtection="1">
      <alignment horizontal="center"/>
      <protection locked="0"/>
    </xf>
    <xf numFmtId="166" fontId="48" fillId="7" borderId="4" xfId="5" applyNumberFormat="1" applyFont="1" applyFill="1" applyBorder="1" applyAlignment="1" applyProtection="1">
      <alignment horizontal="center"/>
      <protection locked="0"/>
    </xf>
    <xf numFmtId="166" fontId="48" fillId="7" borderId="5" xfId="5" applyNumberFormat="1" applyFont="1" applyFill="1" applyBorder="1" applyAlignment="1" applyProtection="1">
      <alignment horizontal="center"/>
      <protection locked="0"/>
    </xf>
    <xf numFmtId="166" fontId="48" fillId="7" borderId="21" xfId="5" applyNumberFormat="1" applyFont="1" applyFill="1" applyBorder="1" applyAlignment="1" applyProtection="1">
      <alignment horizontal="center"/>
      <protection locked="0"/>
    </xf>
    <xf numFmtId="166" fontId="29" fillId="7" borderId="7" xfId="6" applyNumberFormat="1" applyFont="1" applyFill="1" applyBorder="1" applyAlignment="1" applyProtection="1">
      <alignment horizontal="center"/>
      <protection locked="0"/>
    </xf>
    <xf numFmtId="166" fontId="29" fillId="7" borderId="8" xfId="6" applyNumberFormat="1" applyFont="1" applyFill="1" applyBorder="1" applyAlignment="1" applyProtection="1">
      <alignment horizontal="center"/>
      <protection locked="0"/>
    </xf>
    <xf numFmtId="0" fontId="16" fillId="7" borderId="4" xfId="0" applyFont="1" applyFill="1" applyBorder="1" applyProtection="1">
      <protection locked="0"/>
    </xf>
    <xf numFmtId="166" fontId="16" fillId="7" borderId="6" xfId="0" applyNumberFormat="1" applyFont="1" applyFill="1" applyBorder="1" applyProtection="1">
      <protection locked="0"/>
    </xf>
    <xf numFmtId="0" fontId="16" fillId="7" borderId="7" xfId="0" applyFont="1" applyFill="1" applyBorder="1" applyProtection="1">
      <protection locked="0"/>
    </xf>
    <xf numFmtId="166" fontId="16" fillId="7" borderId="9" xfId="0" applyNumberFormat="1" applyFont="1" applyFill="1" applyBorder="1" applyProtection="1">
      <protection locked="0"/>
    </xf>
    <xf numFmtId="166" fontId="16" fillId="7" borderId="3" xfId="0" applyNumberFormat="1" applyFont="1" applyFill="1" applyBorder="1" applyProtection="1">
      <protection locked="0"/>
    </xf>
    <xf numFmtId="0" fontId="32" fillId="7" borderId="6" xfId="5" applyNumberFormat="1" applyFont="1" applyFill="1" applyBorder="1" applyAlignment="1" applyProtection="1">
      <alignment horizontal="center"/>
      <protection locked="0"/>
    </xf>
    <xf numFmtId="0" fontId="32" fillId="7" borderId="9" xfId="5" applyNumberFormat="1" applyFont="1" applyFill="1" applyBorder="1" applyAlignment="1" applyProtection="1">
      <alignment horizontal="center"/>
      <protection locked="0"/>
    </xf>
    <xf numFmtId="0" fontId="16" fillId="7" borderId="1" xfId="0" applyFont="1" applyFill="1" applyBorder="1" applyProtection="1">
      <protection locked="0"/>
    </xf>
    <xf numFmtId="3" fontId="24" fillId="10" borderId="5" xfId="0" applyNumberFormat="1" applyFont="1" applyFill="1" applyBorder="1" applyAlignment="1" applyProtection="1">
      <alignment horizontal="center" vertical="center" wrapText="1"/>
      <protection hidden="1"/>
    </xf>
    <xf numFmtId="0" fontId="55" fillId="0" borderId="0" xfId="0" applyFont="1" applyAlignment="1">
      <alignment horizontal="left" vertical="center" wrapText="1"/>
    </xf>
    <xf numFmtId="0" fontId="11" fillId="0" borderId="0" xfId="0" applyFont="1" applyAlignment="1">
      <alignment horizontal="center" wrapText="1"/>
    </xf>
    <xf numFmtId="0" fontId="42" fillId="0" borderId="0" xfId="0" applyFont="1" applyAlignment="1">
      <alignment horizontal="left" vertical="center" wrapText="1"/>
    </xf>
    <xf numFmtId="0" fontId="19" fillId="0" borderId="0" xfId="0" applyFont="1" applyAlignment="1">
      <alignment horizontal="center"/>
    </xf>
    <xf numFmtId="0" fontId="19" fillId="0" borderId="62" xfId="0" applyFont="1" applyBorder="1" applyAlignment="1">
      <alignment horizontal="center"/>
    </xf>
    <xf numFmtId="0" fontId="10" fillId="0" borderId="0" xfId="0" applyFont="1" applyAlignment="1">
      <alignment horizontal="left" vertical="top" wrapText="1"/>
    </xf>
    <xf numFmtId="0" fontId="18" fillId="0" borderId="5" xfId="0" applyFont="1" applyBorder="1" applyAlignment="1">
      <alignment horizontal="center" vertical="top"/>
    </xf>
    <xf numFmtId="0" fontId="51" fillId="12" borderId="50" xfId="0" applyFont="1" applyFill="1" applyBorder="1" applyAlignment="1" applyProtection="1">
      <alignment horizontal="center" vertical="center" wrapText="1"/>
      <protection hidden="1"/>
    </xf>
    <xf numFmtId="0" fontId="51" fillId="12" borderId="21" xfId="0" applyFont="1" applyFill="1" applyBorder="1" applyAlignment="1" applyProtection="1">
      <alignment horizontal="center" vertical="center" wrapText="1"/>
      <protection hidden="1"/>
    </xf>
    <xf numFmtId="0" fontId="18" fillId="0" borderId="0" xfId="0" applyFont="1" applyAlignment="1">
      <alignment horizontal="center"/>
    </xf>
    <xf numFmtId="0" fontId="0" fillId="0" borderId="0" xfId="0" applyAlignment="1">
      <alignment horizontal="left" vertical="center" wrapText="1"/>
    </xf>
    <xf numFmtId="0" fontId="8" fillId="0" borderId="5" xfId="0" applyFont="1" applyBorder="1" applyAlignment="1" applyProtection="1">
      <alignment horizontal="center" vertical="center"/>
      <protection hidden="1"/>
    </xf>
    <xf numFmtId="0" fontId="16" fillId="0" borderId="0" xfId="0" applyFont="1" applyAlignment="1">
      <alignment horizontal="left" vertical="top" wrapText="1"/>
    </xf>
    <xf numFmtId="0" fontId="16" fillId="0" borderId="27" xfId="0" applyFont="1" applyBorder="1" applyAlignment="1" applyProtection="1">
      <alignment horizontal="left" vertical="top" wrapText="1"/>
      <protection hidden="1"/>
    </xf>
    <xf numFmtId="0" fontId="16" fillId="0" borderId="40" xfId="0" applyFont="1" applyBorder="1" applyAlignment="1" applyProtection="1">
      <alignment horizontal="left" vertical="top" wrapText="1"/>
      <protection hidden="1"/>
    </xf>
    <xf numFmtId="0" fontId="16" fillId="0" borderId="28" xfId="0" applyFont="1" applyBorder="1" applyAlignment="1" applyProtection="1">
      <alignment horizontal="left" vertical="top" wrapText="1"/>
      <protection hidden="1"/>
    </xf>
    <xf numFmtId="0" fontId="34" fillId="0" borderId="0" xfId="8" applyFont="1" applyBorder="1" applyAlignment="1" applyProtection="1">
      <alignment horizontal="left" vertical="center"/>
      <protection hidden="1"/>
    </xf>
    <xf numFmtId="0" fontId="34" fillId="0" borderId="25" xfId="8" applyFont="1" applyBorder="1" applyAlignment="1" applyProtection="1">
      <alignment horizontal="left" vertical="center"/>
      <protection hidden="1"/>
    </xf>
    <xf numFmtId="0" fontId="34" fillId="0" borderId="36" xfId="8" applyFont="1" applyBorder="1" applyAlignment="1">
      <alignment horizontal="left" vertical="center"/>
    </xf>
    <xf numFmtId="0" fontId="34" fillId="0" borderId="23" xfId="8" applyFont="1" applyBorder="1" applyAlignment="1">
      <alignment horizontal="left" vertical="center"/>
    </xf>
    <xf numFmtId="0" fontId="18" fillId="0" borderId="0" xfId="0" applyFont="1" applyAlignment="1" applyProtection="1">
      <alignment horizontal="center" vertical="center"/>
      <protection hidden="1"/>
    </xf>
    <xf numFmtId="0" fontId="16" fillId="7" borderId="50" xfId="6" applyFont="1" applyFill="1" applyBorder="1" applyAlignment="1" applyProtection="1">
      <alignment horizontal="left" vertical="center"/>
      <protection locked="0"/>
    </xf>
    <xf numFmtId="0" fontId="16" fillId="7" borderId="21" xfId="6" applyFont="1" applyFill="1" applyBorder="1" applyAlignment="1" applyProtection="1">
      <alignment horizontal="left" vertical="center"/>
      <protection locked="0"/>
    </xf>
    <xf numFmtId="0" fontId="16" fillId="0" borderId="0" xfId="0" applyFont="1" applyAlignment="1" applyProtection="1">
      <alignment horizontal="left" vertical="top" wrapText="1"/>
      <protection hidden="1"/>
    </xf>
    <xf numFmtId="0" fontId="8" fillId="0" borderId="50" xfId="0" applyFont="1" applyBorder="1" applyAlignment="1" applyProtection="1">
      <alignment horizontal="center" vertical="center" wrapText="1"/>
      <protection hidden="1"/>
    </xf>
    <xf numFmtId="0" fontId="8" fillId="0" borderId="21" xfId="0" applyFont="1" applyBorder="1" applyAlignment="1" applyProtection="1">
      <alignment horizontal="center" vertical="center" wrapText="1"/>
      <protection hidden="1"/>
    </xf>
    <xf numFmtId="0" fontId="5" fillId="0" borderId="5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0" fillId="0" borderId="20" xfId="0" applyBorder="1" applyAlignment="1" applyProtection="1">
      <alignment horizontal="left" vertical="top"/>
      <protection hidden="1"/>
    </xf>
    <xf numFmtId="0" fontId="16" fillId="7" borderId="5" xfId="6" applyFont="1" applyFill="1" applyBorder="1" applyAlignment="1" applyProtection="1">
      <alignment horizontal="left" vertical="center"/>
      <protection locked="0"/>
    </xf>
    <xf numFmtId="0" fontId="16" fillId="0" borderId="29" xfId="0" applyFont="1" applyBorder="1" applyAlignment="1" applyProtection="1">
      <alignment horizontal="left" vertical="top" wrapText="1"/>
      <protection hidden="1"/>
    </xf>
    <xf numFmtId="0" fontId="16" fillId="0" borderId="25" xfId="0" applyFont="1" applyBorder="1" applyAlignment="1" applyProtection="1">
      <alignment horizontal="left" vertical="top" wrapText="1"/>
      <protection hidden="1"/>
    </xf>
    <xf numFmtId="0" fontId="34" fillId="0" borderId="36" xfId="8" applyFont="1" applyFill="1" applyBorder="1" applyAlignment="1" applyProtection="1">
      <alignment horizontal="left" vertical="center"/>
      <protection hidden="1"/>
    </xf>
    <xf numFmtId="0" fontId="8" fillId="0" borderId="50" xfId="0" applyFont="1" applyBorder="1" applyAlignment="1" applyProtection="1">
      <alignment horizontal="center" vertical="center"/>
      <protection hidden="1"/>
    </xf>
    <xf numFmtId="0" fontId="8" fillId="0" borderId="21" xfId="0" applyFont="1" applyBorder="1" applyAlignment="1" applyProtection="1">
      <alignment horizontal="center" vertical="center"/>
      <protection hidden="1"/>
    </xf>
    <xf numFmtId="0" fontId="17" fillId="0" borderId="30" xfId="0" applyFont="1" applyBorder="1" applyAlignment="1" applyProtection="1">
      <alignment horizontal="left" vertical="top" wrapText="1"/>
      <protection hidden="1"/>
    </xf>
    <xf numFmtId="0" fontId="17" fillId="0" borderId="36" xfId="0" applyFont="1" applyBorder="1" applyAlignment="1" applyProtection="1">
      <alignment horizontal="left" vertical="top" wrapText="1"/>
      <protection hidden="1"/>
    </xf>
    <xf numFmtId="0" fontId="17" fillId="0" borderId="23" xfId="0" applyFont="1" applyBorder="1" applyAlignment="1" applyProtection="1">
      <alignment horizontal="left" vertical="top" wrapText="1"/>
      <protection hidden="1"/>
    </xf>
    <xf numFmtId="169" fontId="32" fillId="3" borderId="8" xfId="0" applyNumberFormat="1" applyFont="1" applyFill="1" applyBorder="1" applyAlignment="1" applyProtection="1">
      <alignment horizontal="center"/>
      <protection hidden="1"/>
    </xf>
    <xf numFmtId="169" fontId="32" fillId="3" borderId="9" xfId="0" applyNumberFormat="1" applyFont="1" applyFill="1" applyBorder="1" applyAlignment="1" applyProtection="1">
      <alignment horizontal="center"/>
      <protection hidden="1"/>
    </xf>
    <xf numFmtId="5" fontId="32" fillId="7" borderId="22" xfId="2" applyNumberFormat="1" applyFont="1" applyFill="1" applyBorder="1" applyAlignment="1" applyProtection="1">
      <alignment horizontal="center"/>
      <protection locked="0"/>
    </xf>
    <xf numFmtId="5" fontId="32" fillId="7" borderId="26" xfId="2" applyNumberFormat="1" applyFont="1" applyFill="1" applyBorder="1" applyAlignment="1" applyProtection="1">
      <alignment horizontal="center"/>
      <protection locked="0"/>
    </xf>
    <xf numFmtId="0" fontId="37" fillId="0" borderId="0" xfId="0" applyFont="1" applyAlignment="1" applyProtection="1">
      <alignment horizontal="center" wrapText="1"/>
      <protection hidden="1"/>
    </xf>
    <xf numFmtId="169" fontId="32" fillId="3" borderId="50" xfId="0" applyNumberFormat="1" applyFont="1" applyFill="1" applyBorder="1" applyAlignment="1" applyProtection="1">
      <alignment horizontal="center"/>
      <protection hidden="1"/>
    </xf>
    <xf numFmtId="169" fontId="32" fillId="3" borderId="31" xfId="0" applyNumberFormat="1" applyFont="1" applyFill="1" applyBorder="1" applyAlignment="1" applyProtection="1">
      <alignment horizontal="center"/>
      <protection hidden="1"/>
    </xf>
    <xf numFmtId="0" fontId="11" fillId="0" borderId="49" xfId="0" applyFont="1" applyBorder="1" applyAlignment="1" applyProtection="1">
      <alignment horizontal="center"/>
      <protection hidden="1"/>
    </xf>
    <xf numFmtId="5" fontId="32" fillId="7" borderId="19" xfId="2" applyNumberFormat="1" applyFont="1" applyFill="1" applyBorder="1" applyAlignment="1" applyProtection="1">
      <alignment horizontal="center"/>
      <protection locked="0"/>
    </xf>
    <xf numFmtId="5" fontId="32" fillId="7" borderId="21" xfId="2" applyNumberFormat="1" applyFont="1" applyFill="1" applyBorder="1" applyAlignment="1" applyProtection="1">
      <alignment horizontal="center"/>
      <protection locked="0"/>
    </xf>
    <xf numFmtId="0" fontId="11" fillId="0" borderId="0" xfId="0" applyFont="1" applyAlignment="1" applyProtection="1">
      <alignment horizontal="center"/>
      <protection hidden="1"/>
    </xf>
    <xf numFmtId="0" fontId="15" fillId="0" borderId="37" xfId="0" applyFont="1" applyBorder="1" applyAlignment="1" applyProtection="1">
      <alignment horizontal="center" vertical="center" wrapText="1"/>
      <protection hidden="1"/>
    </xf>
    <xf numFmtId="0" fontId="15" fillId="0" borderId="11"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wrapText="1"/>
      <protection hidden="1"/>
    </xf>
    <xf numFmtId="0" fontId="14" fillId="12" borderId="44" xfId="0" applyFont="1" applyFill="1" applyBorder="1" applyAlignment="1">
      <alignment horizontal="center" vertical="center" wrapText="1"/>
    </xf>
    <xf numFmtId="0" fontId="14" fillId="12" borderId="54" xfId="0" applyFont="1" applyFill="1" applyBorder="1" applyAlignment="1">
      <alignment horizontal="center" vertical="center" wrapText="1"/>
    </xf>
    <xf numFmtId="0" fontId="50" fillId="0" borderId="0" xfId="8" applyFont="1" applyBorder="1" applyAlignment="1" applyProtection="1">
      <alignment horizontal="left" vertical="center" wrapText="1"/>
      <protection hidden="1"/>
    </xf>
    <xf numFmtId="0" fontId="15" fillId="0" borderId="30" xfId="0" applyFont="1" applyBorder="1" applyAlignment="1" applyProtection="1">
      <alignment horizontal="left" vertical="center" wrapText="1" indent="2"/>
      <protection hidden="1"/>
    </xf>
    <xf numFmtId="0" fontId="15" fillId="0" borderId="36" xfId="0" applyFont="1" applyBorder="1" applyAlignment="1" applyProtection="1">
      <alignment horizontal="left" vertical="center" wrapText="1" indent="2"/>
      <protection hidden="1"/>
    </xf>
    <xf numFmtId="0" fontId="15" fillId="0" borderId="29" xfId="0" applyFont="1" applyBorder="1" applyAlignment="1" applyProtection="1">
      <alignment horizontal="left" vertical="center" wrapText="1" indent="2"/>
      <protection hidden="1"/>
    </xf>
    <xf numFmtId="0" fontId="15" fillId="0" borderId="0" xfId="0" applyFont="1" applyAlignment="1" applyProtection="1">
      <alignment horizontal="left" vertical="center" wrapText="1" indent="2"/>
      <protection hidden="1"/>
    </xf>
    <xf numFmtId="0" fontId="34" fillId="0" borderId="36" xfId="8" applyFont="1" applyBorder="1" applyAlignment="1" applyProtection="1">
      <alignment horizontal="left" vertical="center"/>
      <protection hidden="1"/>
    </xf>
    <xf numFmtId="0" fontId="16" fillId="0" borderId="36" xfId="0" applyFont="1" applyBorder="1" applyAlignment="1" applyProtection="1">
      <alignment horizontal="left" vertical="center"/>
      <protection hidden="1"/>
    </xf>
    <xf numFmtId="0" fontId="16" fillId="0" borderId="23" xfId="0" applyFont="1" applyBorder="1" applyAlignment="1" applyProtection="1">
      <alignment horizontal="left" vertical="center"/>
      <protection hidden="1"/>
    </xf>
    <xf numFmtId="0" fontId="18" fillId="0" borderId="0" xfId="0" applyFont="1" applyAlignment="1" applyProtection="1">
      <alignment horizontal="center"/>
      <protection hidden="1"/>
    </xf>
    <xf numFmtId="0" fontId="34" fillId="0" borderId="0" xfId="8" applyFont="1" applyAlignment="1" applyProtection="1">
      <alignment horizontal="center" vertical="top"/>
      <protection hidden="1"/>
    </xf>
    <xf numFmtId="0" fontId="35" fillId="0" borderId="0" xfId="0" applyFont="1" applyAlignment="1" applyProtection="1">
      <alignment horizontal="left" vertical="top" wrapText="1"/>
      <protection hidden="1"/>
    </xf>
    <xf numFmtId="0" fontId="53" fillId="0" borderId="27" xfId="0" applyFont="1" applyBorder="1" applyAlignment="1" applyProtection="1">
      <alignment horizontal="left" vertical="top" wrapText="1"/>
      <protection hidden="1"/>
    </xf>
    <xf numFmtId="0" fontId="53" fillId="0" borderId="40" xfId="0" applyFont="1" applyBorder="1" applyAlignment="1" applyProtection="1">
      <alignment horizontal="left" vertical="top" wrapText="1"/>
      <protection hidden="1"/>
    </xf>
    <xf numFmtId="0" fontId="53" fillId="0" borderId="28" xfId="0" applyFont="1" applyBorder="1" applyAlignment="1" applyProtection="1">
      <alignment horizontal="left" vertical="top" wrapText="1"/>
      <protection hidden="1"/>
    </xf>
    <xf numFmtId="0" fontId="53" fillId="0" borderId="29" xfId="0" applyFont="1" applyBorder="1" applyAlignment="1" applyProtection="1">
      <alignment horizontal="left" vertical="top" wrapText="1"/>
      <protection hidden="1"/>
    </xf>
    <xf numFmtId="0" fontId="53" fillId="0" borderId="0" xfId="0" applyFont="1" applyAlignment="1" applyProtection="1">
      <alignment horizontal="left" vertical="top" wrapText="1"/>
      <protection hidden="1"/>
    </xf>
    <xf numFmtId="0" fontId="53" fillId="0" borderId="25" xfId="0" applyFont="1" applyBorder="1" applyAlignment="1" applyProtection="1">
      <alignment horizontal="left" vertical="top" wrapText="1"/>
      <protection hidden="1"/>
    </xf>
    <xf numFmtId="0" fontId="53" fillId="0" borderId="30" xfId="0" applyFont="1" applyBorder="1" applyAlignment="1" applyProtection="1">
      <alignment horizontal="left" vertical="top" wrapText="1"/>
      <protection hidden="1"/>
    </xf>
    <xf numFmtId="0" fontId="53" fillId="0" borderId="36" xfId="0" applyFont="1" applyBorder="1" applyAlignment="1" applyProtection="1">
      <alignment horizontal="left" vertical="top" wrapText="1"/>
      <protection hidden="1"/>
    </xf>
    <xf numFmtId="0" fontId="53" fillId="0" borderId="23" xfId="0" applyFont="1" applyBorder="1" applyAlignment="1" applyProtection="1">
      <alignment horizontal="left" vertical="top" wrapText="1"/>
      <protection hidden="1"/>
    </xf>
    <xf numFmtId="0" fontId="8" fillId="0" borderId="49" xfId="0" applyFont="1" applyBorder="1" applyAlignment="1" applyProtection="1">
      <alignment horizontal="center"/>
      <protection hidden="1"/>
    </xf>
    <xf numFmtId="0" fontId="16" fillId="0" borderId="4" xfId="0" applyFont="1" applyBorder="1" applyAlignment="1" applyProtection="1">
      <alignment horizontal="center" vertical="center"/>
      <protection hidden="1"/>
    </xf>
    <xf numFmtId="0" fontId="16" fillId="0" borderId="5" xfId="0"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16" fillId="0" borderId="8" xfId="0" applyFont="1" applyBorder="1" applyAlignment="1" applyProtection="1">
      <alignment horizontal="center" vertical="center"/>
      <protection hidden="1"/>
    </xf>
    <xf numFmtId="0" fontId="15" fillId="0" borderId="33" xfId="0" applyFont="1" applyBorder="1" applyAlignment="1" applyProtection="1">
      <alignment horizontal="center" vertical="center" wrapText="1"/>
      <protection hidden="1"/>
    </xf>
    <xf numFmtId="0" fontId="15" fillId="0" borderId="15" xfId="0" applyFont="1" applyBorder="1" applyAlignment="1" applyProtection="1">
      <alignment horizontal="center" vertical="center" wrapText="1"/>
      <protection hidden="1"/>
    </xf>
    <xf numFmtId="0" fontId="8" fillId="4" borderId="1" xfId="0"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0" fontId="31" fillId="0" borderId="0" xfId="0" applyFont="1" applyAlignment="1" applyProtection="1">
      <alignment horizontal="left" vertical="top" wrapText="1"/>
      <protection hidden="1"/>
    </xf>
    <xf numFmtId="0" fontId="5" fillId="0" borderId="16" xfId="0" applyFont="1" applyBorder="1" applyAlignment="1" applyProtection="1">
      <alignment horizontal="center" vertical="center"/>
      <protection hidden="1"/>
    </xf>
    <xf numFmtId="0" fontId="5" fillId="0" borderId="56" xfId="0" applyFont="1" applyBorder="1" applyAlignment="1" applyProtection="1">
      <alignment horizontal="center" vertical="center"/>
      <protection hidden="1"/>
    </xf>
    <xf numFmtId="0" fontId="5" fillId="0" borderId="17" xfId="0" applyFont="1" applyBorder="1" applyAlignment="1" applyProtection="1">
      <alignment horizontal="center" vertical="center"/>
      <protection hidden="1"/>
    </xf>
    <xf numFmtId="0" fontId="5" fillId="0" borderId="44" xfId="0" applyFont="1" applyBorder="1" applyAlignment="1" applyProtection="1">
      <alignment horizontal="center" vertical="center" wrapText="1"/>
      <protection hidden="1"/>
    </xf>
    <xf numFmtId="0" fontId="5" fillId="0" borderId="54" xfId="0" applyFont="1" applyBorder="1" applyAlignment="1" applyProtection="1">
      <alignment horizontal="center" vertical="center" wrapText="1"/>
      <protection hidden="1"/>
    </xf>
    <xf numFmtId="0" fontId="8" fillId="4" borderId="10" xfId="0" applyFont="1" applyFill="1" applyBorder="1" applyAlignment="1" applyProtection="1">
      <alignment horizontal="center"/>
      <protection hidden="1"/>
    </xf>
    <xf numFmtId="0" fontId="8" fillId="4" borderId="11" xfId="0" applyFont="1" applyFill="1" applyBorder="1" applyAlignment="1" applyProtection="1">
      <alignment horizontal="center"/>
      <protection hidden="1"/>
    </xf>
    <xf numFmtId="0" fontId="15" fillId="0" borderId="19" xfId="0" applyFont="1" applyBorder="1" applyAlignment="1" applyProtection="1">
      <alignment horizontal="center" vertical="center"/>
      <protection hidden="1"/>
    </xf>
    <xf numFmtId="0" fontId="15" fillId="0" borderId="20" xfId="0" applyFont="1" applyBorder="1" applyAlignment="1" applyProtection="1">
      <alignment horizontal="center" vertical="center"/>
      <protection hidden="1"/>
    </xf>
    <xf numFmtId="0" fontId="15" fillId="0" borderId="21" xfId="0" applyFont="1" applyBorder="1" applyAlignment="1" applyProtection="1">
      <alignment horizontal="center" vertical="center"/>
      <protection hidden="1"/>
    </xf>
    <xf numFmtId="3" fontId="15" fillId="2" borderId="22" xfId="0" applyNumberFormat="1" applyFont="1" applyFill="1" applyBorder="1" applyAlignment="1" applyProtection="1">
      <alignment horizontal="center" vertical="center"/>
      <protection hidden="1"/>
    </xf>
    <xf numFmtId="3" fontId="15" fillId="2" borderId="24" xfId="0" applyNumberFormat="1" applyFont="1" applyFill="1" applyBorder="1" applyAlignment="1" applyProtection="1">
      <alignment horizontal="center" vertical="center"/>
      <protection hidden="1"/>
    </xf>
    <xf numFmtId="3" fontId="15" fillId="2" borderId="26" xfId="0" applyNumberFormat="1" applyFont="1" applyFill="1" applyBorder="1" applyAlignment="1" applyProtection="1">
      <alignment horizontal="center" vertical="center"/>
      <protection hidden="1"/>
    </xf>
    <xf numFmtId="0" fontId="14" fillId="0" borderId="0" xfId="0"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52" fillId="0" borderId="0" xfId="0" applyFont="1" applyAlignment="1" applyProtection="1">
      <alignment horizontal="center" vertical="center"/>
      <protection hidden="1"/>
    </xf>
    <xf numFmtId="0" fontId="37" fillId="0" borderId="0" xfId="0" applyFont="1" applyAlignment="1" applyProtection="1">
      <alignment horizontal="center"/>
      <protection hidden="1"/>
    </xf>
    <xf numFmtId="0" fontId="15" fillId="2" borderId="37" xfId="0" applyFont="1" applyFill="1" applyBorder="1" applyAlignment="1" applyProtection="1">
      <alignment horizontal="center" vertical="center"/>
      <protection hidden="1"/>
    </xf>
    <xf numFmtId="0" fontId="15" fillId="2" borderId="18" xfId="0" applyFont="1" applyFill="1" applyBorder="1" applyAlignment="1" applyProtection="1">
      <alignment horizontal="center" vertical="center"/>
      <protection hidden="1"/>
    </xf>
    <xf numFmtId="0" fontId="15" fillId="2" borderId="11" xfId="0" applyFont="1" applyFill="1" applyBorder="1" applyAlignment="1" applyProtection="1">
      <alignment horizontal="center" vertical="center"/>
      <protection hidden="1"/>
    </xf>
    <xf numFmtId="0" fontId="8" fillId="8" borderId="10" xfId="0" applyFont="1" applyFill="1" applyBorder="1" applyAlignment="1" applyProtection="1">
      <alignment horizontal="center"/>
      <protection hidden="1"/>
    </xf>
    <xf numFmtId="0" fontId="8" fillId="8" borderId="11" xfId="0" applyFont="1" applyFill="1" applyBorder="1" applyAlignment="1" applyProtection="1">
      <alignment horizontal="center"/>
      <protection hidden="1"/>
    </xf>
    <xf numFmtId="0" fontId="5" fillId="2" borderId="10" xfId="0" applyFont="1" applyFill="1" applyBorder="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5" fillId="2" borderId="32" xfId="0" applyFont="1" applyFill="1" applyBorder="1" applyAlignment="1" applyProtection="1">
      <alignment horizontal="center" vertical="center" wrapText="1"/>
      <protection hidden="1"/>
    </xf>
    <xf numFmtId="0" fontId="5" fillId="2" borderId="14" xfId="0" applyFont="1" applyFill="1" applyBorder="1" applyAlignment="1" applyProtection="1">
      <alignment horizontal="center" vertical="center" wrapText="1"/>
      <protection hidden="1"/>
    </xf>
    <xf numFmtId="0" fontId="5" fillId="2" borderId="34" xfId="0" applyFont="1" applyFill="1" applyBorder="1" applyAlignment="1" applyProtection="1">
      <alignment horizontal="center" vertical="center" wrapText="1"/>
      <protection hidden="1"/>
    </xf>
    <xf numFmtId="0" fontId="5" fillId="2" borderId="35" xfId="0" applyFont="1" applyFill="1" applyBorder="1" applyAlignment="1" applyProtection="1">
      <alignment horizontal="center" vertical="center" wrapText="1"/>
      <protection hidden="1"/>
    </xf>
    <xf numFmtId="0" fontId="5" fillId="2" borderId="36" xfId="0" applyFont="1" applyFill="1" applyBorder="1" applyAlignment="1" applyProtection="1">
      <alignment horizontal="center" vertical="center" wrapText="1"/>
      <protection hidden="1"/>
    </xf>
    <xf numFmtId="0" fontId="5" fillId="2" borderId="23" xfId="0" applyFont="1" applyFill="1" applyBorder="1" applyAlignment="1" applyProtection="1">
      <alignment horizontal="center" vertical="center" wrapText="1"/>
      <protection hidden="1"/>
    </xf>
    <xf numFmtId="0" fontId="15" fillId="2" borderId="13" xfId="0" applyFont="1" applyFill="1" applyBorder="1" applyAlignment="1" applyProtection="1">
      <alignment horizontal="center" vertical="center"/>
      <protection hidden="1"/>
    </xf>
    <xf numFmtId="0" fontId="15" fillId="2" borderId="51" xfId="0" applyFont="1" applyFill="1" applyBorder="1" applyAlignment="1" applyProtection="1">
      <alignment horizontal="center" vertical="center" wrapText="1"/>
      <protection hidden="1"/>
    </xf>
    <xf numFmtId="0" fontId="15" fillId="2" borderId="12" xfId="0" applyFont="1" applyFill="1" applyBorder="1" applyAlignment="1" applyProtection="1">
      <alignment horizontal="center" vertical="center" wrapText="1"/>
      <protection hidden="1"/>
    </xf>
    <xf numFmtId="0" fontId="23" fillId="0" borderId="14" xfId="0" applyFont="1" applyBorder="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8" fillId="8" borderId="1" xfId="0" applyFont="1" applyFill="1" applyBorder="1" applyAlignment="1" applyProtection="1">
      <alignment horizontal="center"/>
      <protection hidden="1"/>
    </xf>
    <xf numFmtId="0" fontId="8" fillId="8" borderId="3" xfId="0" applyFont="1" applyFill="1" applyBorder="1" applyAlignment="1" applyProtection="1">
      <alignment horizontal="center"/>
      <protection hidden="1"/>
    </xf>
    <xf numFmtId="0" fontId="15" fillId="6" borderId="1" xfId="0" applyFont="1" applyFill="1" applyBorder="1" applyAlignment="1" applyProtection="1">
      <alignment horizontal="center" vertical="center"/>
      <protection hidden="1"/>
    </xf>
    <xf numFmtId="0" fontId="15" fillId="6" borderId="2" xfId="0" applyFont="1" applyFill="1" applyBorder="1" applyAlignment="1" applyProtection="1">
      <alignment horizontal="center" vertical="center"/>
      <protection hidden="1"/>
    </xf>
    <xf numFmtId="0" fontId="15" fillId="6" borderId="3" xfId="0" applyFont="1" applyFill="1" applyBorder="1" applyAlignment="1" applyProtection="1">
      <alignment horizontal="center" vertical="center"/>
      <protection hidden="1"/>
    </xf>
    <xf numFmtId="0" fontId="9" fillId="0" borderId="16" xfId="0" applyFont="1" applyBorder="1" applyAlignment="1" applyProtection="1">
      <alignment horizontal="center" vertical="center"/>
      <protection hidden="1"/>
    </xf>
    <xf numFmtId="0" fontId="9" fillId="0" borderId="17" xfId="0" applyFont="1" applyBorder="1" applyAlignment="1" applyProtection="1">
      <alignment horizontal="center" vertical="center"/>
      <protection hidden="1"/>
    </xf>
    <xf numFmtId="0" fontId="9" fillId="0" borderId="33"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0" fillId="0" borderId="14" xfId="0" applyBorder="1" applyAlignment="1" applyProtection="1">
      <alignment horizontal="center" vertical="top"/>
      <protection hidden="1"/>
    </xf>
    <xf numFmtId="0" fontId="15" fillId="0" borderId="22" xfId="0" applyFont="1" applyBorder="1" applyAlignment="1" applyProtection="1">
      <alignment horizontal="center" vertical="center"/>
      <protection hidden="1"/>
    </xf>
    <xf numFmtId="0" fontId="15" fillId="0" borderId="26" xfId="0" applyFont="1" applyBorder="1" applyAlignment="1" applyProtection="1">
      <alignment horizontal="center" vertical="center"/>
      <protection hidden="1"/>
    </xf>
    <xf numFmtId="0" fontId="5" fillId="2" borderId="18" xfId="0" applyFont="1" applyFill="1" applyBorder="1" applyAlignment="1" applyProtection="1">
      <alignment horizontal="center" vertical="center"/>
      <protection hidden="1"/>
    </xf>
    <xf numFmtId="0" fontId="15" fillId="0" borderId="24" xfId="0" applyFont="1" applyBorder="1" applyAlignment="1" applyProtection="1">
      <alignment horizontal="center" vertical="center"/>
      <protection hidden="1"/>
    </xf>
    <xf numFmtId="0" fontId="15" fillId="4" borderId="19" xfId="0" applyFont="1" applyFill="1" applyBorder="1" applyAlignment="1" applyProtection="1">
      <alignment horizontal="center" vertical="center"/>
      <protection hidden="1"/>
    </xf>
    <xf numFmtId="0" fontId="15" fillId="4" borderId="20" xfId="0" applyFont="1" applyFill="1" applyBorder="1" applyAlignment="1" applyProtection="1">
      <alignment horizontal="center" vertical="center"/>
      <protection hidden="1"/>
    </xf>
    <xf numFmtId="0" fontId="5" fillId="2" borderId="10" xfId="0" applyFont="1" applyFill="1" applyBorder="1" applyAlignment="1" applyProtection="1">
      <alignment horizontal="center" vertical="center" wrapText="1"/>
      <protection hidden="1"/>
    </xf>
    <xf numFmtId="0" fontId="5" fillId="2" borderId="18" xfId="0" applyFont="1" applyFill="1" applyBorder="1" applyAlignment="1" applyProtection="1">
      <alignment horizontal="center" vertical="center" wrapText="1"/>
      <protection hidden="1"/>
    </xf>
    <xf numFmtId="0" fontId="5" fillId="2" borderId="11" xfId="0" applyFont="1" applyFill="1" applyBorder="1" applyAlignment="1" applyProtection="1">
      <alignment horizontal="center" vertical="center" wrapText="1"/>
      <protection hidden="1"/>
    </xf>
    <xf numFmtId="0" fontId="15" fillId="2" borderId="44" xfId="0" applyFont="1" applyFill="1" applyBorder="1" applyAlignment="1" applyProtection="1">
      <alignment horizontal="center" vertical="center" wrapText="1"/>
      <protection hidden="1"/>
    </xf>
    <xf numFmtId="0" fontId="15" fillId="2" borderId="45" xfId="0" applyFont="1" applyFill="1" applyBorder="1" applyAlignment="1" applyProtection="1">
      <alignment horizontal="center" vertical="center" wrapText="1"/>
      <protection hidden="1"/>
    </xf>
  </cellXfs>
  <cellStyles count="9">
    <cellStyle name="Comma" xfId="1" builtinId="3"/>
    <cellStyle name="Comma 2" xfId="7" xr:uid="{238B29E1-1005-FF44-A104-0124B5A1717D}"/>
    <cellStyle name="Currency" xfId="2" builtinId="4"/>
    <cellStyle name="Currency 2" xfId="5" xr:uid="{65EBC230-56DB-C548-AA2C-843648B8DBE1}"/>
    <cellStyle name="Hyperlink" xfId="8" builtinId="8"/>
    <cellStyle name="Normal" xfId="0" builtinId="0"/>
    <cellStyle name="Normal 2" xfId="4" xr:uid="{CE0DBABC-B77E-C146-BCCF-E5A6A9D53F2C}"/>
    <cellStyle name="Normal 2 2" xfId="6" xr:uid="{FAF3C51A-1F9C-5B4E-83D0-1BC98F58FD54}"/>
    <cellStyle name="Percent" xfId="3" builtinId="5"/>
  </cellStyles>
  <dxfs count="0"/>
  <tableStyles count="0" defaultTableStyle="TableStyleMedium2" defaultPivotStyle="PivotStyleLight16"/>
  <colors>
    <mruColors>
      <color rgb="FF00BFFF"/>
      <color rgb="FFC8C6FE"/>
      <color rgb="FFD9D9D9"/>
      <color rgb="FFB6E6FF"/>
      <color rgb="FFB1EBFF"/>
      <color rgb="FFB0E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hyperlink" Target="https://www.zero-code.org/energy-calculator/" TargetMode="External"/><Relationship Id="rId2" Type="http://schemas.openxmlformats.org/officeDocument/2006/relationships/hyperlink" Target="https://www.zerotool.org/zerotool/" TargetMode="External"/><Relationship Id="rId1" Type="http://schemas.openxmlformats.org/officeDocument/2006/relationships/hyperlink" Target="https://pvwatts.nrel.gov/"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www.rsmeans.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oregonmultifamilyenergy.com/" TargetMode="External"/><Relationship Id="rId2" Type="http://schemas.openxmlformats.org/officeDocument/2006/relationships/hyperlink" Target="https://www.dsireusa.org/" TargetMode="External"/><Relationship Id="rId1" Type="http://schemas.openxmlformats.org/officeDocument/2006/relationships/hyperlink" Target="https://www.dsireusa.org/" TargetMode="External"/><Relationship Id="rId4" Type="http://schemas.openxmlformats.org/officeDocument/2006/relationships/hyperlink" Target="https://www.energytrust.org/programs/new-construction-major-renovations/"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122D9-A1BD-7F4B-8033-3C26836958CB}">
  <sheetPr codeName="Sheet1">
    <pageSetUpPr fitToPage="1"/>
  </sheetPr>
  <dimension ref="B1:D24"/>
  <sheetViews>
    <sheetView showGridLines="0" tabSelected="1" zoomScaleNormal="100" workbookViewId="0"/>
  </sheetViews>
  <sheetFormatPr defaultColWidth="11" defaultRowHeight="15.95"/>
  <cols>
    <col min="1" max="1" width="4.875" customWidth="1"/>
    <col min="2" max="2" width="68.875" customWidth="1"/>
    <col min="3" max="3" width="69.875" customWidth="1"/>
    <col min="4" max="4" width="40.875" customWidth="1"/>
  </cols>
  <sheetData>
    <row r="1" spans="2:4" ht="21.95" thickBot="1">
      <c r="D1" s="216" t="s">
        <v>0</v>
      </c>
    </row>
    <row r="2" spans="2:4" s="1" customFormat="1" ht="30.95" customHeight="1" thickBot="1">
      <c r="B2" s="315" t="s">
        <v>1</v>
      </c>
      <c r="C2" s="316"/>
      <c r="D2" s="218" t="s">
        <v>2</v>
      </c>
    </row>
    <row r="3" spans="2:4" s="1" customFormat="1" ht="30.95" customHeight="1" thickBot="1">
      <c r="B3" s="5"/>
      <c r="C3" s="5"/>
      <c r="D3" s="219" t="s">
        <v>3</v>
      </c>
    </row>
    <row r="4" spans="2:4" ht="36" customHeight="1" thickBot="1">
      <c r="B4" s="314" t="s">
        <v>4</v>
      </c>
      <c r="C4" s="314"/>
      <c r="D4" s="220" t="s">
        <v>5</v>
      </c>
    </row>
    <row r="5" spans="2:4" ht="36" customHeight="1" thickBot="1">
      <c r="B5" s="317" t="s">
        <v>6</v>
      </c>
      <c r="C5" s="317"/>
      <c r="D5" s="221" t="s">
        <v>7</v>
      </c>
    </row>
    <row r="6" spans="2:4" ht="117.95" customHeight="1">
      <c r="B6" s="317"/>
      <c r="C6" s="317"/>
    </row>
    <row r="7" spans="2:4" ht="32.1" customHeight="1">
      <c r="B7" s="224" t="s">
        <v>8</v>
      </c>
      <c r="C7" s="217"/>
    </row>
    <row r="8" spans="2:4" ht="261.95" customHeight="1">
      <c r="B8" s="317" t="s">
        <v>9</v>
      </c>
      <c r="C8" s="317"/>
    </row>
    <row r="9" spans="2:4" ht="26.1" customHeight="1">
      <c r="B9" s="313" t="s">
        <v>10</v>
      </c>
      <c r="C9" s="313"/>
    </row>
    <row r="10" spans="2:4" ht="24" customHeight="1">
      <c r="B10" s="238" t="s">
        <v>11</v>
      </c>
      <c r="C10" s="6" t="s">
        <v>12</v>
      </c>
    </row>
    <row r="11" spans="2:4" ht="24" customHeight="1">
      <c r="B11" s="239" t="s">
        <v>13</v>
      </c>
      <c r="C11" s="7" t="s">
        <v>14</v>
      </c>
    </row>
    <row r="12" spans="2:4" ht="24" customHeight="1">
      <c r="B12" s="239" t="s">
        <v>15</v>
      </c>
      <c r="C12" s="7" t="s">
        <v>16</v>
      </c>
    </row>
    <row r="13" spans="2:4" ht="24" customHeight="1">
      <c r="B13" s="240" t="s">
        <v>17</v>
      </c>
      <c r="C13" s="7" t="s">
        <v>18</v>
      </c>
    </row>
    <row r="14" spans="2:4" ht="24" customHeight="1">
      <c r="B14" s="240" t="s">
        <v>19</v>
      </c>
      <c r="C14" s="6" t="s">
        <v>20</v>
      </c>
    </row>
    <row r="15" spans="2:4" ht="24" customHeight="1">
      <c r="B15" s="239" t="s">
        <v>21</v>
      </c>
      <c r="C15" s="7" t="s">
        <v>22</v>
      </c>
    </row>
    <row r="16" spans="2:4" ht="24" customHeight="1">
      <c r="B16" s="239" t="s">
        <v>23</v>
      </c>
      <c r="C16" s="7" t="s">
        <v>24</v>
      </c>
    </row>
    <row r="17" spans="2:3" ht="21.95" customHeight="1">
      <c r="B17" s="253" t="s">
        <v>25</v>
      </c>
      <c r="C17" s="11"/>
    </row>
    <row r="18" spans="2:3" ht="26.1" customHeight="1">
      <c r="B18" s="313" t="s">
        <v>26</v>
      </c>
      <c r="C18" s="313"/>
    </row>
    <row r="19" spans="2:3" ht="20.100000000000001">
      <c r="B19" s="8" t="s">
        <v>27</v>
      </c>
      <c r="C19" s="9" t="s">
        <v>28</v>
      </c>
    </row>
    <row r="20" spans="2:3" ht="20.100000000000001">
      <c r="B20" s="7" t="s">
        <v>29</v>
      </c>
      <c r="C20" s="10" t="s">
        <v>30</v>
      </c>
    </row>
    <row r="21" spans="2:3" ht="20.100000000000001">
      <c r="B21" s="7" t="s">
        <v>31</v>
      </c>
      <c r="C21" s="10" t="s">
        <v>32</v>
      </c>
    </row>
    <row r="22" spans="2:3" ht="20.100000000000001">
      <c r="B22" s="11" t="s">
        <v>33</v>
      </c>
      <c r="C22" s="12" t="s">
        <v>34</v>
      </c>
    </row>
    <row r="24" spans="2:3" ht="68.099999999999994" customHeight="1">
      <c r="B24" s="312" t="s">
        <v>35</v>
      </c>
      <c r="C24" s="312"/>
    </row>
  </sheetData>
  <sheetProtection algorithmName="SHA-512" hashValue="gfr9jxZqRGlP2UdZQm32tjtCB7stC5Sd+EOn9Qcu6SJEiIL8x4E25SuYYLdb7K3vpsW1CykYPGjttYEgd+kmpQ==" saltValue="Rm2XeArD84JLjzH7rR1NOg==" spinCount="100000" sheet="1" objects="1" scenarios="1"/>
  <mergeCells count="7">
    <mergeCell ref="B24:C24"/>
    <mergeCell ref="B9:C9"/>
    <mergeCell ref="B18:C18"/>
    <mergeCell ref="B4:C4"/>
    <mergeCell ref="B2:C2"/>
    <mergeCell ref="B5:C6"/>
    <mergeCell ref="B8:C8"/>
  </mergeCells>
  <pageMargins left="0.7" right="0.7" top="0.75" bottom="0.75" header="0.3" footer="0.3"/>
  <pageSetup scale="46"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4F4C3-F857-7841-B2C9-35CEB2666C49}">
  <sheetPr codeName="Sheet2"/>
  <dimension ref="B2:D19"/>
  <sheetViews>
    <sheetView showGridLines="0" zoomScaleNormal="100" workbookViewId="0"/>
  </sheetViews>
  <sheetFormatPr defaultColWidth="10.875" defaultRowHeight="20.100000000000001"/>
  <cols>
    <col min="1" max="1" width="4.875" style="2" customWidth="1"/>
    <col min="2" max="2" width="37.375" style="2" customWidth="1"/>
    <col min="3" max="3" width="100.875" style="3" customWidth="1"/>
    <col min="4" max="4" width="10.875" style="2"/>
    <col min="5" max="5" width="10.875" style="2" customWidth="1"/>
    <col min="6" max="16384" width="10.875" style="2"/>
  </cols>
  <sheetData>
    <row r="2" spans="2:4" ht="29.1">
      <c r="B2" s="318" t="s">
        <v>36</v>
      </c>
      <c r="C2" s="318"/>
    </row>
    <row r="3" spans="2:4" ht="86.1" customHeight="1">
      <c r="B3" s="225" t="s">
        <v>37</v>
      </c>
      <c r="C3" s="226" t="s">
        <v>38</v>
      </c>
      <c r="D3" s="4"/>
    </row>
    <row r="4" spans="2:4" ht="63">
      <c r="B4" s="225" t="s">
        <v>39</v>
      </c>
      <c r="C4" s="226" t="s">
        <v>40</v>
      </c>
      <c r="D4" s="4"/>
    </row>
    <row r="5" spans="2:4" ht="63">
      <c r="B5" s="227" t="s">
        <v>41</v>
      </c>
      <c r="C5" s="226" t="s">
        <v>42</v>
      </c>
      <c r="D5" s="4"/>
    </row>
    <row r="6" spans="2:4" ht="66.95" customHeight="1">
      <c r="B6" s="225" t="s">
        <v>43</v>
      </c>
      <c r="C6" s="226" t="s">
        <v>44</v>
      </c>
      <c r="D6" s="4"/>
    </row>
    <row r="7" spans="2:4" ht="192" customHeight="1">
      <c r="B7" s="227" t="s">
        <v>45</v>
      </c>
      <c r="C7" s="226" t="s">
        <v>46</v>
      </c>
      <c r="D7" s="4"/>
    </row>
    <row r="8" spans="2:4" ht="84">
      <c r="B8" s="227" t="s">
        <v>47</v>
      </c>
      <c r="C8" s="226" t="s">
        <v>48</v>
      </c>
      <c r="D8" s="4"/>
    </row>
    <row r="9" spans="2:4" ht="65.099999999999994" customHeight="1">
      <c r="B9" s="227" t="s">
        <v>49</v>
      </c>
      <c r="C9" s="226" t="s">
        <v>50</v>
      </c>
      <c r="D9" s="4"/>
    </row>
    <row r="10" spans="2:4" ht="90.95" customHeight="1">
      <c r="B10" s="227" t="s">
        <v>51</v>
      </c>
      <c r="C10" s="226" t="s">
        <v>52</v>
      </c>
      <c r="D10" s="4"/>
    </row>
    <row r="11" spans="2:4" ht="72" customHeight="1">
      <c r="B11" s="225" t="s">
        <v>53</v>
      </c>
      <c r="C11" s="226" t="s">
        <v>54</v>
      </c>
      <c r="D11" s="4"/>
    </row>
    <row r="12" spans="2:4" ht="75" customHeight="1">
      <c r="B12" s="225" t="s">
        <v>55</v>
      </c>
      <c r="C12" s="228" t="s">
        <v>56</v>
      </c>
      <c r="D12" s="4"/>
    </row>
    <row r="13" spans="2:4" ht="39.950000000000003" customHeight="1"/>
    <row r="14" spans="2:4" ht="39.950000000000003" customHeight="1"/>
    <row r="15" spans="2:4" ht="39.950000000000003" customHeight="1"/>
    <row r="16" spans="2:4" ht="39.950000000000003" customHeight="1"/>
    <row r="17" ht="39.950000000000003" customHeight="1"/>
    <row r="18" ht="39.950000000000003" customHeight="1"/>
    <row r="19" ht="39.950000000000003" customHeight="1"/>
  </sheetData>
  <sheetProtection algorithmName="SHA-512" hashValue="Q5F6uaMXg2HagYiFO5G4FWM6VuahzeblRh9ogxwLJylIBx/NJIjyIAwh4Gf5k/Bw3Z0FW2gHVn+KvMWjXxDq3g==" saltValue="oNvWr05dg+7rCppeFdEaRA==" spinCount="100000" sheet="1" objects="1" scenarios="1"/>
  <mergeCells count="1">
    <mergeCell ref="B2:C2"/>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5F7A9-A71F-9B40-9A61-5CC3D1957CB2}">
  <dimension ref="B1:F19"/>
  <sheetViews>
    <sheetView showGridLines="0" workbookViewId="0"/>
  </sheetViews>
  <sheetFormatPr defaultColWidth="11" defaultRowHeight="15.95"/>
  <cols>
    <col min="1" max="1" width="4.875" customWidth="1"/>
    <col min="2" max="2" width="37.875" customWidth="1"/>
    <col min="3" max="3" width="60.875" customWidth="1"/>
    <col min="4" max="4" width="3.875" customWidth="1"/>
    <col min="5" max="5" width="56.125" customWidth="1"/>
    <col min="6" max="6" width="20.875" customWidth="1"/>
    <col min="7" max="7" width="3.875" customWidth="1"/>
    <col min="8" max="8" width="32" bestFit="1" customWidth="1"/>
  </cols>
  <sheetData>
    <row r="1" spans="2:6" ht="30" thickBot="1">
      <c r="B1" s="321" t="s">
        <v>57</v>
      </c>
      <c r="C1" s="321"/>
      <c r="E1" s="216" t="s">
        <v>0</v>
      </c>
    </row>
    <row r="2" spans="2:6" ht="36" customHeight="1" thickBot="1">
      <c r="B2" s="324" t="s">
        <v>58</v>
      </c>
      <c r="C2" s="324"/>
      <c r="E2" s="218" t="s">
        <v>2</v>
      </c>
    </row>
    <row r="3" spans="2:6" ht="36" customHeight="1" thickBot="1">
      <c r="B3" s="324"/>
      <c r="C3" s="324"/>
      <c r="E3" s="219" t="s">
        <v>3</v>
      </c>
    </row>
    <row r="4" spans="2:6" ht="36" customHeight="1" thickBot="1">
      <c r="B4" s="324"/>
      <c r="C4" s="324"/>
      <c r="E4" s="220" t="s">
        <v>5</v>
      </c>
    </row>
    <row r="5" spans="2:6" ht="36" customHeight="1" thickBot="1">
      <c r="B5" s="324"/>
      <c r="C5" s="324"/>
      <c r="E5" s="221" t="s">
        <v>7</v>
      </c>
    </row>
    <row r="6" spans="2:6" ht="36" customHeight="1">
      <c r="B6" s="324"/>
      <c r="C6" s="324"/>
    </row>
    <row r="7" spans="2:6" ht="36" customHeight="1">
      <c r="B7" s="324"/>
      <c r="C7" s="324"/>
      <c r="E7" s="319" t="s">
        <v>59</v>
      </c>
      <c r="F7" s="320"/>
    </row>
    <row r="8" spans="2:6" ht="36" customHeight="1">
      <c r="B8" s="324"/>
      <c r="C8" s="324"/>
      <c r="E8" s="272" t="s">
        <v>60</v>
      </c>
      <c r="F8" s="283" t="s">
        <v>61</v>
      </c>
    </row>
    <row r="9" spans="2:6" ht="36" customHeight="1">
      <c r="B9" s="324"/>
      <c r="C9" s="324"/>
      <c r="E9" s="273" t="s">
        <v>62</v>
      </c>
      <c r="F9" s="311" t="str">
        <f>IFERROR(IF(ISNUMBER(C13),C13,"Need total building square footage"),"")</f>
        <v>Need total building square footage</v>
      </c>
    </row>
    <row r="10" spans="2:6" ht="38.1" customHeight="1">
      <c r="B10" s="324"/>
      <c r="C10" s="324"/>
      <c r="E10" s="273" t="s">
        <v>63</v>
      </c>
      <c r="F10" s="274" t="str">
        <f>IFERROR((F8*F9)*'Measure Selection'!M23,"")</f>
        <v/>
      </c>
    </row>
    <row r="11" spans="2:6" ht="36" customHeight="1">
      <c r="B11" s="323" t="s">
        <v>64</v>
      </c>
      <c r="C11" s="323"/>
      <c r="E11" s="273" t="s">
        <v>65</v>
      </c>
      <c r="F11" s="284">
        <v>0</v>
      </c>
    </row>
    <row r="12" spans="2:6" ht="36" customHeight="1">
      <c r="B12" s="18" t="s">
        <v>66</v>
      </c>
      <c r="C12" s="281" t="s">
        <v>67</v>
      </c>
      <c r="E12" s="273" t="s">
        <v>68</v>
      </c>
      <c r="F12" s="274" t="str">
        <f>IFERROR(F10*(1-F11),"")</f>
        <v/>
      </c>
    </row>
    <row r="13" spans="2:6" ht="36" customHeight="1">
      <c r="B13" s="18" t="s">
        <v>62</v>
      </c>
      <c r="C13" s="282" t="s">
        <v>69</v>
      </c>
      <c r="E13" s="273" t="s">
        <v>70</v>
      </c>
      <c r="F13" s="274" t="str">
        <f>IFERROR((F10*F11)/'Measure Selection'!M25,"")</f>
        <v/>
      </c>
    </row>
    <row r="14" spans="2:6" ht="36" customHeight="1"/>
    <row r="15" spans="2:6" ht="36" customHeight="1">
      <c r="C15" s="264"/>
    </row>
    <row r="16" spans="2:6" ht="36" customHeight="1">
      <c r="B16" s="322"/>
      <c r="C16" s="322"/>
    </row>
    <row r="17" spans="6:6" ht="36" customHeight="1"/>
    <row r="18" spans="6:6" ht="20.100000000000001">
      <c r="F18" s="259"/>
    </row>
    <row r="19" spans="6:6" ht="17.100000000000001" customHeight="1"/>
  </sheetData>
  <sheetProtection algorithmName="SHA-512" hashValue="KxJrO4sZeLhFwxEOmgt+3jzKJ68sYw52uh7UkrZmomYlsMq9x6lZwRq/6Jje3e4vR+GJBeMFyCdvBp+otp0Fmg==" saltValue="dwu1DOPDy15TtgeN2mI2HQ==" spinCount="100000" sheet="1" objects="1" scenarios="1"/>
  <mergeCells count="5">
    <mergeCell ref="E7:F7"/>
    <mergeCell ref="B1:C1"/>
    <mergeCell ref="B16:C16"/>
    <mergeCell ref="B11:C11"/>
    <mergeCell ref="B2:C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E1096-A63B-DE4D-95CE-F14B75CC0A67}">
  <sheetPr codeName="Sheet3">
    <pageSetUpPr fitToPage="1"/>
  </sheetPr>
  <dimension ref="A1:N28"/>
  <sheetViews>
    <sheetView showGridLines="0" zoomScaleNormal="100" workbookViewId="0"/>
  </sheetViews>
  <sheetFormatPr defaultColWidth="10.875" defaultRowHeight="15.95"/>
  <cols>
    <col min="1" max="1" width="2.875" style="14" customWidth="1"/>
    <col min="2" max="2" width="48" style="14" customWidth="1"/>
    <col min="3" max="3" width="22.875" style="20" customWidth="1"/>
    <col min="4" max="4" width="2.875" style="14" customWidth="1"/>
    <col min="5" max="5" width="45.875" style="14" customWidth="1"/>
    <col min="6" max="6" width="14.875" style="29" customWidth="1"/>
    <col min="7" max="7" width="14.875" style="14" customWidth="1"/>
    <col min="8" max="8" width="2.875" style="14" customWidth="1"/>
    <col min="9" max="9" width="32.875" style="14" customWidth="1"/>
    <col min="10" max="10" width="16.375" style="14" customWidth="1"/>
    <col min="11" max="12" width="14.875" style="14" customWidth="1"/>
    <col min="13" max="16384" width="10.875" style="14"/>
  </cols>
  <sheetData>
    <row r="1" spans="2:12" ht="36" customHeight="1" thickBot="1">
      <c r="B1" s="332" t="s">
        <v>71</v>
      </c>
      <c r="C1" s="332"/>
      <c r="D1" s="332"/>
      <c r="E1" s="332"/>
      <c r="F1" s="332"/>
      <c r="G1" s="332"/>
      <c r="H1" s="13"/>
      <c r="I1" s="30" t="s">
        <v>0</v>
      </c>
      <c r="J1" s="30"/>
    </row>
    <row r="2" spans="2:12" ht="36" customHeight="1" thickBot="1">
      <c r="B2" s="325" t="s">
        <v>72</v>
      </c>
      <c r="C2" s="326"/>
      <c r="D2" s="326"/>
      <c r="E2" s="326"/>
      <c r="F2" s="326"/>
      <c r="G2" s="327"/>
      <c r="H2" s="13"/>
      <c r="I2" s="260" t="s">
        <v>2</v>
      </c>
      <c r="J2" s="30"/>
    </row>
    <row r="3" spans="2:12" ht="36" customHeight="1" thickBot="1">
      <c r="B3" s="342"/>
      <c r="C3" s="335"/>
      <c r="D3" s="335"/>
      <c r="E3" s="335"/>
      <c r="F3" s="335"/>
      <c r="G3" s="343"/>
      <c r="H3" s="15"/>
      <c r="I3" s="261" t="s">
        <v>3</v>
      </c>
      <c r="J3" s="30"/>
    </row>
    <row r="4" spans="2:12" ht="36" customHeight="1" thickBot="1">
      <c r="B4" s="342"/>
      <c r="C4" s="335"/>
      <c r="D4" s="335"/>
      <c r="E4" s="335"/>
      <c r="F4" s="335"/>
      <c r="G4" s="343"/>
      <c r="H4" s="15"/>
      <c r="I4" s="262" t="s">
        <v>5</v>
      </c>
      <c r="J4" s="30"/>
    </row>
    <row r="5" spans="2:12" ht="36" customHeight="1" thickBot="1">
      <c r="B5" s="342"/>
      <c r="C5" s="335"/>
      <c r="D5" s="335"/>
      <c r="E5" s="335"/>
      <c r="F5" s="335"/>
      <c r="G5" s="343"/>
      <c r="H5" s="15"/>
      <c r="I5" s="263" t="s">
        <v>7</v>
      </c>
      <c r="J5" s="30"/>
    </row>
    <row r="6" spans="2:12" ht="200.1" customHeight="1">
      <c r="B6" s="342"/>
      <c r="C6" s="335"/>
      <c r="D6" s="335"/>
      <c r="E6" s="335"/>
      <c r="F6" s="335"/>
      <c r="G6" s="343"/>
      <c r="H6" s="15"/>
    </row>
    <row r="7" spans="2:12" ht="32.1" customHeight="1">
      <c r="B7" s="231" t="s">
        <v>73</v>
      </c>
      <c r="C7" s="344" t="s">
        <v>74</v>
      </c>
      <c r="D7" s="344"/>
      <c r="E7" s="344"/>
      <c r="F7" s="230"/>
      <c r="G7" s="229"/>
      <c r="H7" s="15"/>
    </row>
    <row r="8" spans="2:12" ht="20.100000000000001">
      <c r="C8" s="15"/>
      <c r="D8" s="15"/>
      <c r="G8" s="15"/>
      <c r="H8" s="15"/>
    </row>
    <row r="9" spans="2:12" ht="39.950000000000003" customHeight="1">
      <c r="B9" s="336" t="s">
        <v>75</v>
      </c>
      <c r="C9" s="337"/>
      <c r="E9" s="16" t="s">
        <v>76</v>
      </c>
      <c r="F9" s="17" t="s">
        <v>77</v>
      </c>
      <c r="G9" s="17" t="s">
        <v>78</v>
      </c>
      <c r="I9" s="338" t="s">
        <v>79</v>
      </c>
      <c r="J9" s="339"/>
      <c r="K9" s="17" t="s">
        <v>80</v>
      </c>
      <c r="L9" s="17" t="s">
        <v>81</v>
      </c>
    </row>
    <row r="10" spans="2:12" ht="32.1" customHeight="1">
      <c r="B10" s="22" t="s">
        <v>82</v>
      </c>
      <c r="C10" s="285">
        <v>500000</v>
      </c>
      <c r="E10" s="289" t="s">
        <v>83</v>
      </c>
      <c r="F10" s="288">
        <v>5000</v>
      </c>
      <c r="G10" s="288"/>
      <c r="I10" s="333" t="s">
        <v>84</v>
      </c>
      <c r="J10" s="334"/>
      <c r="K10" s="294">
        <v>95000</v>
      </c>
      <c r="L10" s="294">
        <v>0</v>
      </c>
    </row>
    <row r="11" spans="2:12" ht="32.1" customHeight="1">
      <c r="B11" s="22" t="s">
        <v>85</v>
      </c>
      <c r="C11" s="285">
        <v>3000</v>
      </c>
      <c r="D11" s="19"/>
      <c r="E11" s="289" t="s">
        <v>86</v>
      </c>
      <c r="F11" s="288">
        <v>12000</v>
      </c>
      <c r="G11" s="288"/>
      <c r="I11" s="333"/>
      <c r="J11" s="334"/>
      <c r="K11" s="294"/>
      <c r="L11" s="294"/>
    </row>
    <row r="12" spans="2:12" ht="32.1" customHeight="1">
      <c r="B12" s="22" t="s">
        <v>87</v>
      </c>
      <c r="C12" s="277" t="str">
        <f>IFERROR(C10/'Measure Selection'!$M$23/'Getting Started'!C13+(C11*'Measure Selection'!$M$24)/'Getting Started'!C13,"Need total bldg sq ft")</f>
        <v>Need total bldg sq ft</v>
      </c>
      <c r="D12" s="21"/>
      <c r="E12" s="289" t="s">
        <v>88</v>
      </c>
      <c r="F12" s="288">
        <v>3000</v>
      </c>
      <c r="G12" s="288"/>
      <c r="I12" s="333"/>
      <c r="J12" s="334"/>
      <c r="K12" s="295"/>
      <c r="L12" s="294"/>
    </row>
    <row r="13" spans="2:12" ht="32.1" customHeight="1">
      <c r="B13" s="340" t="s">
        <v>89</v>
      </c>
      <c r="C13" s="340"/>
      <c r="D13" s="21"/>
      <c r="E13" s="289"/>
      <c r="F13" s="288"/>
      <c r="G13" s="288"/>
      <c r="I13" s="341"/>
      <c r="J13" s="341"/>
      <c r="K13" s="295"/>
      <c r="L13" s="294"/>
    </row>
    <row r="14" spans="2:12" ht="32.1" customHeight="1">
      <c r="B14" s="345" t="s">
        <v>90</v>
      </c>
      <c r="C14" s="346"/>
      <c r="D14" s="15"/>
      <c r="E14" s="290"/>
      <c r="F14" s="291"/>
      <c r="G14" s="288"/>
      <c r="I14" s="341"/>
      <c r="J14" s="341"/>
      <c r="K14" s="295"/>
      <c r="L14" s="294"/>
    </row>
    <row r="15" spans="2:12" ht="32.1" customHeight="1">
      <c r="B15" s="23" t="s">
        <v>91</v>
      </c>
      <c r="C15" s="286">
        <v>0.128</v>
      </c>
      <c r="D15" s="15"/>
      <c r="E15" s="290"/>
      <c r="F15" s="291"/>
      <c r="G15" s="288"/>
    </row>
    <row r="16" spans="2:12" ht="32.1" customHeight="1">
      <c r="B16" s="23" t="s">
        <v>92</v>
      </c>
      <c r="C16" s="287">
        <v>1</v>
      </c>
      <c r="E16" s="290"/>
      <c r="F16" s="291"/>
      <c r="G16" s="288"/>
    </row>
    <row r="17" spans="1:14" ht="32.1" customHeight="1">
      <c r="B17" s="23" t="s">
        <v>93</v>
      </c>
      <c r="C17" s="286">
        <v>1.1020000000000001</v>
      </c>
      <c r="E17" s="292"/>
      <c r="F17" s="291"/>
      <c r="G17" s="288"/>
    </row>
    <row r="18" spans="1:14" ht="32.1" customHeight="1">
      <c r="E18" s="289"/>
      <c r="F18" s="288"/>
      <c r="G18" s="288"/>
    </row>
    <row r="19" spans="1:14" ht="32.1" customHeight="1">
      <c r="D19" s="24"/>
      <c r="E19" s="289"/>
      <c r="F19" s="288"/>
      <c r="G19" s="288"/>
    </row>
    <row r="20" spans="1:14" ht="32.1" customHeight="1">
      <c r="E20" s="289"/>
      <c r="F20" s="288"/>
      <c r="G20" s="288"/>
      <c r="N20" s="25"/>
    </row>
    <row r="21" spans="1:14" ht="32.1" customHeight="1">
      <c r="E21" s="293"/>
      <c r="F21" s="288"/>
      <c r="G21" s="288"/>
      <c r="N21" s="25"/>
    </row>
    <row r="22" spans="1:14" ht="32.1" customHeight="1">
      <c r="A22" s="26"/>
      <c r="E22" s="293"/>
      <c r="F22" s="288"/>
      <c r="G22" s="288"/>
      <c r="N22" s="25"/>
    </row>
    <row r="23" spans="1:14" ht="39.950000000000003" customHeight="1">
      <c r="B23" s="335" t="s">
        <v>94</v>
      </c>
      <c r="C23" s="335"/>
      <c r="D23" s="335"/>
      <c r="E23" s="335"/>
      <c r="F23" s="335"/>
      <c r="G23" s="335"/>
    </row>
    <row r="24" spans="1:14" ht="282" customHeight="1">
      <c r="B24" s="325" t="s">
        <v>95</v>
      </c>
      <c r="C24" s="326"/>
      <c r="D24" s="326"/>
      <c r="E24" s="326"/>
      <c r="F24" s="326"/>
      <c r="G24" s="327"/>
    </row>
    <row r="25" spans="1:14" ht="30" customHeight="1">
      <c r="B25" s="266" t="s">
        <v>96</v>
      </c>
      <c r="C25" s="328" t="s">
        <v>97</v>
      </c>
      <c r="D25" s="328"/>
      <c r="E25" s="328"/>
      <c r="F25" s="328"/>
      <c r="G25" s="329"/>
    </row>
    <row r="26" spans="1:14" ht="30" customHeight="1">
      <c r="B26" s="267" t="s">
        <v>98</v>
      </c>
      <c r="C26" s="330" t="s">
        <v>99</v>
      </c>
      <c r="D26" s="330"/>
      <c r="E26" s="330"/>
      <c r="F26" s="330"/>
      <c r="G26" s="331"/>
    </row>
    <row r="27" spans="1:14" ht="32.1" customHeight="1"/>
    <row r="28" spans="1:14">
      <c r="F28" s="52"/>
      <c r="G28" s="52"/>
    </row>
  </sheetData>
  <sheetProtection algorithmName="SHA-512" hashValue="wIvnjbbjrdhAAp2VvjLgywBaIn5YdGD0DoYDU3hxGJFN5Ytr0ofPstR11yldjOqdrCE0XCkIerfsd4xwQT2RkA==" saltValue="n0Xtzoxe8ztK9uoZ+d6tJw==" spinCount="100000" sheet="1" objects="1" scenarios="1"/>
  <mergeCells count="16">
    <mergeCell ref="B24:G24"/>
    <mergeCell ref="C25:G25"/>
    <mergeCell ref="C26:G26"/>
    <mergeCell ref="B1:G1"/>
    <mergeCell ref="I11:J11"/>
    <mergeCell ref="B23:G23"/>
    <mergeCell ref="B9:C9"/>
    <mergeCell ref="I9:J9"/>
    <mergeCell ref="I10:J10"/>
    <mergeCell ref="B13:C13"/>
    <mergeCell ref="I14:J14"/>
    <mergeCell ref="I12:J12"/>
    <mergeCell ref="B2:G6"/>
    <mergeCell ref="C7:E7"/>
    <mergeCell ref="I13:J13"/>
    <mergeCell ref="B14:C14"/>
  </mergeCells>
  <hyperlinks>
    <hyperlink ref="C7" r:id="rId1" xr:uid="{71532505-0CE0-B44C-A3C4-B215AC14FF7C}"/>
    <hyperlink ref="C26" r:id="rId2" xr:uid="{EF825F3D-03D4-6041-A08E-21491AB0B4FF}"/>
    <hyperlink ref="C25" r:id="rId3" xr:uid="{26E9F921-3DDD-7C48-AD27-D31BDAC395F1}"/>
  </hyperlinks>
  <pageMargins left="0.7" right="0.7" top="0.75" bottom="0.75" header="0.3" footer="0.3"/>
  <pageSetup scale="41" orientation="landscape" horizontalDpi="0" verticalDpi="0"/>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1A343-BA49-E942-B986-48E92B8907A3}">
  <sheetPr codeName="Sheet4">
    <pageSetUpPr fitToPage="1"/>
  </sheetPr>
  <dimension ref="B1:P32"/>
  <sheetViews>
    <sheetView showGridLines="0" zoomScaleNormal="100" workbookViewId="0"/>
  </sheetViews>
  <sheetFormatPr defaultColWidth="10.875" defaultRowHeight="15.95"/>
  <cols>
    <col min="1" max="1" width="2.875" style="14" customWidth="1"/>
    <col min="2" max="2" width="49" style="14" customWidth="1"/>
    <col min="3" max="4" width="17" style="14" customWidth="1"/>
    <col min="5" max="6" width="25.375" style="14" customWidth="1"/>
    <col min="7" max="7" width="6.875" style="14" customWidth="1"/>
    <col min="8" max="8" width="10.875" style="14" customWidth="1"/>
    <col min="9" max="9" width="42.875" style="14" customWidth="1"/>
    <col min="10" max="10" width="22.875" style="14" customWidth="1"/>
    <col min="11" max="11" width="19.875" style="14" customWidth="1"/>
    <col min="12" max="12" width="6.875" style="14" customWidth="1"/>
    <col min="13" max="13" width="24.875" style="14" customWidth="1"/>
    <col min="14" max="14" width="10.875" style="14"/>
    <col min="15" max="15" width="30.875" style="14" hidden="1" customWidth="1"/>
    <col min="16" max="16" width="0" style="14" hidden="1" customWidth="1"/>
    <col min="17" max="16384" width="10.875" style="14"/>
  </cols>
  <sheetData>
    <row r="1" spans="2:16" ht="39.950000000000003" customHeight="1" thickBot="1">
      <c r="B1" s="332" t="s">
        <v>100</v>
      </c>
      <c r="C1" s="332"/>
      <c r="D1" s="332"/>
      <c r="E1" s="332"/>
      <c r="F1" s="332"/>
      <c r="G1" s="247"/>
      <c r="H1" s="247"/>
      <c r="I1" s="30" t="s">
        <v>0</v>
      </c>
      <c r="K1" s="31"/>
    </row>
    <row r="2" spans="2:16" ht="32.1" customHeight="1">
      <c r="B2" s="335" t="s">
        <v>101</v>
      </c>
      <c r="C2" s="335"/>
      <c r="D2" s="335"/>
      <c r="E2" s="335"/>
      <c r="F2" s="335"/>
      <c r="G2" s="246"/>
      <c r="H2" s="246"/>
      <c r="I2" s="268" t="s">
        <v>2</v>
      </c>
      <c r="K2" s="15"/>
    </row>
    <row r="3" spans="2:16" ht="39.950000000000003" customHeight="1">
      <c r="B3" s="335"/>
      <c r="C3" s="335"/>
      <c r="D3" s="335"/>
      <c r="E3" s="335"/>
      <c r="F3" s="335"/>
      <c r="G3" s="246"/>
      <c r="H3" s="246"/>
      <c r="I3" s="269" t="s">
        <v>3</v>
      </c>
      <c r="K3" s="15"/>
    </row>
    <row r="4" spans="2:16" ht="32.1" customHeight="1">
      <c r="B4" s="335"/>
      <c r="C4" s="335"/>
      <c r="D4" s="335"/>
      <c r="E4" s="335"/>
      <c r="F4" s="335"/>
      <c r="G4" s="246"/>
      <c r="H4" s="246"/>
      <c r="I4" s="270" t="s">
        <v>5</v>
      </c>
      <c r="K4" s="15"/>
    </row>
    <row r="5" spans="2:16" ht="32.1" customHeight="1" thickBot="1">
      <c r="B5" s="335"/>
      <c r="C5" s="335"/>
      <c r="D5" s="335"/>
      <c r="E5" s="335"/>
      <c r="F5" s="335"/>
      <c r="G5" s="246"/>
      <c r="H5" s="246"/>
      <c r="I5" s="271" t="s">
        <v>7</v>
      </c>
      <c r="K5" s="15"/>
    </row>
    <row r="6" spans="2:16" ht="39.950000000000003" customHeight="1" thickBot="1">
      <c r="B6" s="357" t="s">
        <v>102</v>
      </c>
      <c r="C6" s="357"/>
      <c r="D6" s="357"/>
      <c r="E6" s="357"/>
      <c r="F6" s="357"/>
      <c r="G6" s="30"/>
      <c r="H6" s="354" t="s">
        <v>103</v>
      </c>
      <c r="I6" s="354"/>
      <c r="J6" s="354"/>
      <c r="K6" s="32"/>
    </row>
    <row r="7" spans="2:16" ht="39.950000000000003" customHeight="1">
      <c r="B7" s="242" t="s">
        <v>76</v>
      </c>
      <c r="C7" s="33" t="s">
        <v>104</v>
      </c>
      <c r="D7" s="34" t="s">
        <v>105</v>
      </c>
      <c r="E7" s="34" t="s">
        <v>106</v>
      </c>
      <c r="F7" s="35" t="s">
        <v>107</v>
      </c>
      <c r="G7" s="36"/>
      <c r="H7" s="37" t="s">
        <v>108</v>
      </c>
      <c r="I7" s="38" t="s">
        <v>109</v>
      </c>
      <c r="J7" s="35" t="s">
        <v>110</v>
      </c>
      <c r="K7" s="32"/>
    </row>
    <row r="8" spans="2:16" ht="32.1" customHeight="1">
      <c r="B8" s="232" t="str">
        <f>IF(ISBLANK('Energy Worksheet'!E10),"",'Energy Worksheet'!E10)</f>
        <v>Example: Attic Insulation R-60</v>
      </c>
      <c r="C8" s="296">
        <v>8000</v>
      </c>
      <c r="D8" s="297">
        <v>15000</v>
      </c>
      <c r="E8" s="233">
        <f t="shared" ref="E8:E12" si="0">IF(ISBLANK(D8),"",D8-C8)</f>
        <v>7000</v>
      </c>
      <c r="F8" s="234">
        <f>IF(ISERROR('Costs Worksheet'!E8/('Energy Worksheet'!F10+('Energy Worksheet'!G10*'Measure Selection'!$M$25))),"",'Costs Worksheet'!E8/('Energy Worksheet'!F10+('Energy Worksheet'!G10*'Measure Selection'!$M$25)))</f>
        <v>1.4</v>
      </c>
      <c r="H8" s="39">
        <v>1</v>
      </c>
      <c r="I8" s="40" t="str" cm="1">
        <f t="array" ref="I8:J22">_xlfn.TAKE(_xlfn._xlws.SORT('Costs Worksheet'!O8:P27,2,1),15)</f>
        <v>Example: Attic Insulation R-60</v>
      </c>
      <c r="J8" s="41">
        <v>1.4</v>
      </c>
      <c r="K8" s="32"/>
      <c r="O8" s="14" t="str">
        <f>IF(ISBLANK(B8),"",B8)</f>
        <v>Example: Attic Insulation R-60</v>
      </c>
      <c r="P8" s="42">
        <f t="shared" ref="P8:P14" si="1">IF(ISBLANK(F8),"",IF(ISNUMBER(F8),F8,""))</f>
        <v>1.4</v>
      </c>
    </row>
    <row r="9" spans="2:16" ht="32.1" customHeight="1">
      <c r="B9" s="232" t="str">
        <f>IF(ISBLANK('Energy Worksheet'!E11),"",'Energy Worksheet'!E11)</f>
        <v>Example: LED Lighting &amp; Controls</v>
      </c>
      <c r="C9" s="298">
        <v>55000</v>
      </c>
      <c r="D9" s="299">
        <v>80000</v>
      </c>
      <c r="E9" s="233">
        <f t="shared" si="0"/>
        <v>25000</v>
      </c>
      <c r="F9" s="234">
        <f>IF(ISERROR('Costs Worksheet'!E9/('Energy Worksheet'!F11+('Energy Worksheet'!G11*'Measure Selection'!$M$25))),"",'Costs Worksheet'!E9/('Energy Worksheet'!F11+('Energy Worksheet'!G11*'Measure Selection'!$M$25)))</f>
        <v>2.0833333333333335</v>
      </c>
      <c r="H9" s="39">
        <v>2</v>
      </c>
      <c r="I9" s="40" t="str">
        <v>Example: Solar PV System</v>
      </c>
      <c r="J9" s="41">
        <v>1.8421052631578947</v>
      </c>
      <c r="K9" s="32"/>
      <c r="O9" s="14" t="str">
        <f t="shared" ref="O9:O19" si="2">IF(ISBLANK(B9),"",B9)</f>
        <v>Example: LED Lighting &amp; Controls</v>
      </c>
      <c r="P9" s="42">
        <f t="shared" si="1"/>
        <v>2.0833333333333335</v>
      </c>
    </row>
    <row r="10" spans="2:16" ht="32.1" customHeight="1">
      <c r="B10" s="232" t="str">
        <f>IF(ISBLANK('Energy Worksheet'!E12),"",'Energy Worksheet'!E12)</f>
        <v>Example: ENERGY STAR Appliances</v>
      </c>
      <c r="C10" s="298">
        <v>24000</v>
      </c>
      <c r="D10" s="299">
        <v>42000</v>
      </c>
      <c r="E10" s="233">
        <f t="shared" si="0"/>
        <v>18000</v>
      </c>
      <c r="F10" s="234">
        <f>IF(ISERROR('Costs Worksheet'!E10/('Energy Worksheet'!F12+('Energy Worksheet'!G12*'Measure Selection'!$M$25))),"",'Costs Worksheet'!E10/('Energy Worksheet'!F12+('Energy Worksheet'!G12*'Measure Selection'!$M$25)))</f>
        <v>6</v>
      </c>
      <c r="H10" s="39">
        <v>3</v>
      </c>
      <c r="I10" s="40" t="str">
        <v>Example: LED Lighting &amp; Controls</v>
      </c>
      <c r="J10" s="41">
        <v>2.0833333333333335</v>
      </c>
      <c r="K10" s="32"/>
      <c r="O10" s="14" t="str">
        <f t="shared" si="2"/>
        <v>Example: ENERGY STAR Appliances</v>
      </c>
      <c r="P10" s="42">
        <f t="shared" si="1"/>
        <v>6</v>
      </c>
    </row>
    <row r="11" spans="2:16" ht="32.1" customHeight="1">
      <c r="B11" s="232" t="str">
        <f>IF(ISBLANK('Energy Worksheet'!E13),"",'Energy Worksheet'!E13)</f>
        <v/>
      </c>
      <c r="C11" s="296"/>
      <c r="D11" s="297"/>
      <c r="E11" s="233" t="str">
        <f t="shared" si="0"/>
        <v/>
      </c>
      <c r="F11" s="234" t="str">
        <f>IF(ISERROR('Costs Worksheet'!E11/('Energy Worksheet'!F13+('Energy Worksheet'!G13*'Measure Selection'!$M$25))),"",'Costs Worksheet'!E11/('Energy Worksheet'!F13+('Energy Worksheet'!G13*'Measure Selection'!$M$25)))</f>
        <v/>
      </c>
      <c r="H11" s="39">
        <v>4</v>
      </c>
      <c r="I11" s="40" t="str">
        <v>Example: ENERGY STAR Appliances</v>
      </c>
      <c r="J11" s="41">
        <v>6</v>
      </c>
      <c r="K11" s="32"/>
      <c r="O11" s="14" t="str">
        <f t="shared" si="2"/>
        <v/>
      </c>
      <c r="P11" s="42" t="str">
        <f t="shared" si="1"/>
        <v/>
      </c>
    </row>
    <row r="12" spans="2:16" ht="32.1" customHeight="1">
      <c r="B12" s="232" t="str">
        <f>IF(ISBLANK('Energy Worksheet'!E14),"",'Energy Worksheet'!E14)</f>
        <v/>
      </c>
      <c r="C12" s="296"/>
      <c r="D12" s="297"/>
      <c r="E12" s="233" t="str">
        <f t="shared" si="0"/>
        <v/>
      </c>
      <c r="F12" s="234" t="str">
        <f>IF(ISERROR('Costs Worksheet'!E12/('Energy Worksheet'!F14+('Energy Worksheet'!G14*'Measure Selection'!$M$25))),"",'Costs Worksheet'!E12/('Energy Worksheet'!F14+('Energy Worksheet'!G14*'Measure Selection'!$M$25)))</f>
        <v/>
      </c>
      <c r="H12" s="39">
        <v>5</v>
      </c>
      <c r="I12" s="40" t="str">
        <v/>
      </c>
      <c r="J12" s="41" t="str">
        <v/>
      </c>
      <c r="K12" s="32"/>
      <c r="O12" s="14" t="str">
        <f t="shared" si="2"/>
        <v/>
      </c>
      <c r="P12" s="42" t="str">
        <f t="shared" si="1"/>
        <v/>
      </c>
    </row>
    <row r="13" spans="2:16" ht="32.1" customHeight="1">
      <c r="B13" s="232" t="str">
        <f>IF(ISBLANK('Energy Worksheet'!E15),"",'Energy Worksheet'!E15)</f>
        <v/>
      </c>
      <c r="C13" s="296"/>
      <c r="D13" s="297"/>
      <c r="E13" s="233" t="str">
        <f>IF(ISBLANK(D13),"",D13-C13)</f>
        <v/>
      </c>
      <c r="F13" s="234" t="str">
        <f>IF(ISERROR('Costs Worksheet'!E13/('Energy Worksheet'!F15+('Energy Worksheet'!G15*'Measure Selection'!$M$25))),"",'Costs Worksheet'!E13/('Energy Worksheet'!F15+('Energy Worksheet'!G15*'Measure Selection'!$M$25)))</f>
        <v/>
      </c>
      <c r="H13" s="39">
        <v>6</v>
      </c>
      <c r="I13" s="40" t="str">
        <v/>
      </c>
      <c r="J13" s="41" t="str">
        <v/>
      </c>
      <c r="K13" s="32"/>
      <c r="O13" s="14" t="str">
        <f t="shared" si="2"/>
        <v/>
      </c>
      <c r="P13" s="42" t="str">
        <f t="shared" si="1"/>
        <v/>
      </c>
    </row>
    <row r="14" spans="2:16" ht="32.1" customHeight="1">
      <c r="B14" s="232" t="str">
        <f>IF(ISBLANK('Energy Worksheet'!E16),"",'Energy Worksheet'!E16)</f>
        <v/>
      </c>
      <c r="C14" s="296"/>
      <c r="D14" s="297"/>
      <c r="E14" s="233" t="str">
        <f t="shared" ref="E14:E19" si="3">IF(ISBLANK(D14),"",D14-C14)</f>
        <v/>
      </c>
      <c r="F14" s="234" t="str">
        <f>IF(ISERROR('Costs Worksheet'!E14/('Energy Worksheet'!F16+('Energy Worksheet'!G16*'Measure Selection'!$M$25))),"",'Costs Worksheet'!E14/('Energy Worksheet'!F16+('Energy Worksheet'!G16*'Measure Selection'!$M$25)))</f>
        <v/>
      </c>
      <c r="H14" s="39">
        <v>7</v>
      </c>
      <c r="I14" s="40" t="str">
        <v/>
      </c>
      <c r="J14" s="41" t="str">
        <v/>
      </c>
      <c r="K14" s="32"/>
      <c r="O14" s="14" t="str">
        <f t="shared" si="2"/>
        <v/>
      </c>
      <c r="P14" s="42" t="str">
        <f t="shared" si="1"/>
        <v/>
      </c>
    </row>
    <row r="15" spans="2:16" ht="32.1" customHeight="1">
      <c r="B15" s="232" t="str">
        <f>IF(ISBLANK('Energy Worksheet'!E17),"",'Energy Worksheet'!E17)</f>
        <v/>
      </c>
      <c r="C15" s="296"/>
      <c r="D15" s="297"/>
      <c r="E15" s="233" t="str">
        <f t="shared" si="3"/>
        <v/>
      </c>
      <c r="F15" s="234" t="str">
        <f>IF(ISERROR('Costs Worksheet'!E15/('Energy Worksheet'!F17+('Energy Worksheet'!G17*'Measure Selection'!$M$25))),"",'Costs Worksheet'!E15/('Energy Worksheet'!F17+('Energy Worksheet'!G17*'Measure Selection'!$M$25)))</f>
        <v/>
      </c>
      <c r="H15" s="39">
        <v>8</v>
      </c>
      <c r="I15" s="40" t="str">
        <v/>
      </c>
      <c r="J15" s="41" t="str">
        <v/>
      </c>
      <c r="K15" s="32"/>
      <c r="O15" s="14" t="str">
        <f>IF(ISBLANK(B15),"",B15)</f>
        <v/>
      </c>
      <c r="P15" s="42" t="str">
        <f>IF(ISBLANK(F15),"",IF(ISNUMBER(F15),F15,""))</f>
        <v/>
      </c>
    </row>
    <row r="16" spans="2:16" ht="32.1" customHeight="1">
      <c r="B16" s="232" t="str">
        <f>IF(ISBLANK('Energy Worksheet'!E18),"",'Energy Worksheet'!E18)</f>
        <v/>
      </c>
      <c r="C16" s="296"/>
      <c r="D16" s="299"/>
      <c r="E16" s="233" t="str">
        <f t="shared" si="3"/>
        <v/>
      </c>
      <c r="F16" s="234" t="str">
        <f>IF(ISERROR('Costs Worksheet'!E16/('Energy Worksheet'!F18+('Energy Worksheet'!G18*'Measure Selection'!$M$25))),"",'Costs Worksheet'!E16/('Energy Worksheet'!F18+('Energy Worksheet'!G18*'Measure Selection'!$M$25)))</f>
        <v/>
      </c>
      <c r="H16" s="39">
        <v>9</v>
      </c>
      <c r="I16" s="40" t="str">
        <v/>
      </c>
      <c r="J16" s="41" t="str">
        <v/>
      </c>
      <c r="K16" s="32"/>
      <c r="O16" s="14" t="str">
        <f t="shared" si="2"/>
        <v/>
      </c>
      <c r="P16" s="42" t="str">
        <f t="shared" ref="P16:P19" si="4">IF(ISBLANK(F16),"",IF(ISNUMBER(F16),F16,""))</f>
        <v/>
      </c>
    </row>
    <row r="17" spans="2:16" ht="32.1" customHeight="1">
      <c r="B17" s="232" t="str">
        <f>IF(ISBLANK('Energy Worksheet'!E19),"",'Energy Worksheet'!E19)</f>
        <v/>
      </c>
      <c r="C17" s="296"/>
      <c r="D17" s="299"/>
      <c r="E17" s="233" t="str">
        <f t="shared" si="3"/>
        <v/>
      </c>
      <c r="F17" s="234" t="str">
        <f>IF(ISERROR('Costs Worksheet'!E17/('Energy Worksheet'!F19+('Energy Worksheet'!G19*'Measure Selection'!$M$25))),"",'Costs Worksheet'!E17/('Energy Worksheet'!F19+('Energy Worksheet'!G19*'Measure Selection'!$M$25)))</f>
        <v/>
      </c>
      <c r="H17" s="39">
        <v>10</v>
      </c>
      <c r="I17" s="40" t="str">
        <v/>
      </c>
      <c r="J17" s="41" t="str">
        <v/>
      </c>
      <c r="K17" s="32"/>
      <c r="O17" s="14" t="str">
        <f t="shared" si="2"/>
        <v/>
      </c>
      <c r="P17" s="42" t="str">
        <f t="shared" si="4"/>
        <v/>
      </c>
    </row>
    <row r="18" spans="2:16" ht="32.1" customHeight="1">
      <c r="B18" s="232" t="str">
        <f>IF(ISBLANK('Energy Worksheet'!E20),"",'Energy Worksheet'!E20)</f>
        <v/>
      </c>
      <c r="C18" s="298"/>
      <c r="D18" s="300"/>
      <c r="E18" s="233" t="str">
        <f t="shared" si="3"/>
        <v/>
      </c>
      <c r="F18" s="234" t="str">
        <f>IF(ISERROR('Costs Worksheet'!E18/('Energy Worksheet'!F20+('Energy Worksheet'!G20*'Measure Selection'!$M$25))),"",'Costs Worksheet'!E18/('Energy Worksheet'!F20+('Energy Worksheet'!G20*'Measure Selection'!$M$25)))</f>
        <v/>
      </c>
      <c r="H18" s="39">
        <v>11</v>
      </c>
      <c r="I18" s="40" t="str">
        <v/>
      </c>
      <c r="J18" s="41" t="str">
        <v/>
      </c>
      <c r="K18" s="32"/>
      <c r="O18" s="14" t="str">
        <f t="shared" si="2"/>
        <v/>
      </c>
      <c r="P18" s="42" t="str">
        <f t="shared" si="4"/>
        <v/>
      </c>
    </row>
    <row r="19" spans="2:16" ht="32.1" customHeight="1" thickBot="1">
      <c r="B19" s="235" t="str">
        <f>IF(ISBLANK('Energy Worksheet'!E21),"",'Energy Worksheet'!E21)</f>
        <v/>
      </c>
      <c r="C19" s="301"/>
      <c r="D19" s="302"/>
      <c r="E19" s="236" t="str">
        <f t="shared" si="3"/>
        <v/>
      </c>
      <c r="F19" s="237" t="str">
        <f>IF(ISERROR('Costs Worksheet'!#REF!/('Energy Worksheet'!F21+('Energy Worksheet'!G21*'Measure Selection'!$M$25))),"",'Costs Worksheet'!#REF!/('Energy Worksheet'!F21+('Energy Worksheet'!G21*'Measure Selection'!$M$25)))</f>
        <v/>
      </c>
      <c r="H19" s="39">
        <v>12</v>
      </c>
      <c r="I19" s="40" t="str">
        <v/>
      </c>
      <c r="J19" s="41" t="str">
        <v/>
      </c>
      <c r="K19" s="32"/>
      <c r="O19" s="14" t="str">
        <f t="shared" si="2"/>
        <v/>
      </c>
      <c r="P19" s="42" t="str">
        <f t="shared" si="4"/>
        <v/>
      </c>
    </row>
    <row r="20" spans="2:16" ht="32.1" customHeight="1" thickBot="1">
      <c r="B20" s="360" t="s">
        <v>111</v>
      </c>
      <c r="C20" s="360"/>
      <c r="D20" s="360"/>
      <c r="E20" s="360"/>
      <c r="F20" s="360"/>
      <c r="G20" s="43"/>
      <c r="H20" s="39">
        <v>13</v>
      </c>
      <c r="I20" s="40" t="str">
        <v/>
      </c>
      <c r="J20" s="41" t="str">
        <v/>
      </c>
      <c r="K20" s="32"/>
      <c r="O20" s="14" t="str">
        <f>IF(ISBLANK(#REF!),"",IF(ISNUMBER(#REF!),"B19",""))</f>
        <v/>
      </c>
      <c r="P20" s="42" t="str">
        <f>IF(ISBLANK(#REF!),"",IF(ISNUMBER(#REF!),#REF!,""))</f>
        <v/>
      </c>
    </row>
    <row r="21" spans="2:16" ht="39.950000000000003" customHeight="1">
      <c r="B21" s="44" t="s">
        <v>112</v>
      </c>
      <c r="C21" s="363" t="s">
        <v>113</v>
      </c>
      <c r="D21" s="364"/>
      <c r="E21" s="361" t="s">
        <v>114</v>
      </c>
      <c r="F21" s="362"/>
      <c r="H21" s="39">
        <v>14</v>
      </c>
      <c r="I21" s="40" t="str">
        <v/>
      </c>
      <c r="J21" s="41" t="str">
        <v/>
      </c>
      <c r="K21" s="32"/>
      <c r="O21" s="14" t="str">
        <f>IF(ISBLANK(B20),"",IF(ISNUMBER(B20),"B19",""))</f>
        <v/>
      </c>
      <c r="P21" s="42" t="str">
        <f>IF(ISBLANK(F20),"",IF(ISNUMBER(F20),F20,""))</f>
        <v/>
      </c>
    </row>
    <row r="22" spans="2:16" ht="32.1" customHeight="1" thickBot="1">
      <c r="B22" s="45" t="str">
        <f>IF(ISBLANK('Energy Worksheet'!I10),"",'Energy Worksheet'!I10)</f>
        <v>Example: Solar PV System</v>
      </c>
      <c r="C22" s="358">
        <v>175000</v>
      </c>
      <c r="D22" s="359"/>
      <c r="E22" s="355">
        <f>IFERROR('Costs Worksheet'!C22/'Energy Worksheet'!K10,"")</f>
        <v>1.8421052631578947</v>
      </c>
      <c r="F22" s="356"/>
      <c r="G22" s="46"/>
      <c r="H22" s="47">
        <v>15</v>
      </c>
      <c r="I22" s="48" t="str">
        <v/>
      </c>
      <c r="J22" s="49" t="str">
        <v/>
      </c>
      <c r="K22" s="32"/>
      <c r="O22" s="14" t="str">
        <f>IF(ISBLANK(B21),"",IF(ISNUMBER(B21),"B19",""))</f>
        <v/>
      </c>
      <c r="P22" s="42" t="str">
        <f>IF(ISBLANK(F21),"",IF(ISNUMBER(F21),F21,""))</f>
        <v/>
      </c>
    </row>
    <row r="23" spans="2:16" ht="32.1" customHeight="1">
      <c r="B23" s="45" t="str">
        <f>IF(ISBLANK('Energy Worksheet'!I11),"",'Energy Worksheet'!I11)</f>
        <v/>
      </c>
      <c r="C23" s="358"/>
      <c r="D23" s="359"/>
      <c r="E23" s="355" t="str">
        <f>IFERROR('Costs Worksheet'!C23/'Energy Worksheet'!K11,"")</f>
        <v/>
      </c>
      <c r="F23" s="356"/>
      <c r="K23" s="32"/>
      <c r="O23" s="14" t="str">
        <f>IF(ISBLANK(B22),"",B22)</f>
        <v>Example: Solar PV System</v>
      </c>
      <c r="P23" s="42">
        <f>IF(ISBLANK(E22),"",IF(ISNUMBER(E22),E22,""))</f>
        <v>1.8421052631578947</v>
      </c>
    </row>
    <row r="24" spans="2:16" ht="32.1" customHeight="1">
      <c r="B24" s="45" t="str">
        <f>IF(ISBLANK('Energy Worksheet'!I12),"",'Energy Worksheet'!I12)</f>
        <v/>
      </c>
      <c r="C24" s="358"/>
      <c r="D24" s="359"/>
      <c r="E24" s="355" t="str">
        <f>IFERROR('Costs Worksheet'!C24/'Energy Worksheet'!#REF!,"")</f>
        <v/>
      </c>
      <c r="F24" s="356"/>
      <c r="K24" s="32"/>
      <c r="O24" s="14" t="str">
        <f>IF(ISBLANK(B23),"",B23)</f>
        <v/>
      </c>
      <c r="P24" s="42" t="str">
        <f>IF(ISBLANK(E23),"",IF(ISNUMBER(E23),E23,""))</f>
        <v/>
      </c>
    </row>
    <row r="25" spans="2:16" ht="32.1" customHeight="1">
      <c r="B25" s="45" t="str">
        <f>IF(ISBLANK('Energy Worksheet'!I13),"",'Energy Worksheet'!I13)</f>
        <v/>
      </c>
      <c r="C25" s="358"/>
      <c r="D25" s="359"/>
      <c r="E25" s="355" t="str">
        <f>IFERROR('Costs Worksheet'!C25/'Energy Worksheet'!#REF!,"")</f>
        <v/>
      </c>
      <c r="F25" s="356"/>
      <c r="G25" s="50"/>
      <c r="H25" s="50"/>
      <c r="I25" s="50"/>
      <c r="K25" s="32"/>
      <c r="O25" s="14" t="str">
        <f>IF(ISBLANK(B24),"",B24)</f>
        <v/>
      </c>
      <c r="P25" s="42" t="str">
        <f>IF(ISBLANK(E24),"",IF(ISNUMBER(E24),E24,""))</f>
        <v/>
      </c>
    </row>
    <row r="26" spans="2:16" ht="32.1" customHeight="1" thickBot="1">
      <c r="B26" s="51" t="str">
        <f>IF(ISBLANK('Energy Worksheet'!I14),"",'Energy Worksheet'!I14)</f>
        <v/>
      </c>
      <c r="C26" s="352"/>
      <c r="D26" s="353"/>
      <c r="E26" s="350" t="str">
        <f>IFERROR('Costs Worksheet'!C26/'Energy Worksheet'!#REF!,"")</f>
        <v/>
      </c>
      <c r="F26" s="351"/>
      <c r="K26" s="32"/>
      <c r="O26" s="14" t="str">
        <f>IF(ISBLANK(B25),"",B25)</f>
        <v/>
      </c>
      <c r="P26" s="42" t="str">
        <f>IF(ISBLANK(E25),"",IF(ISNUMBER(E25),E25,""))</f>
        <v/>
      </c>
    </row>
    <row r="27" spans="2:16" ht="32.1" customHeight="1">
      <c r="C27" s="52"/>
      <c r="D27" s="52"/>
      <c r="E27" s="52"/>
      <c r="F27" s="52"/>
      <c r="K27" s="43"/>
      <c r="O27" s="14" t="str">
        <f>IF(ISBLANK(B26),"",B26)</f>
        <v/>
      </c>
      <c r="P27" s="42" t="str">
        <f>IF(ISBLANK(E26),"",IF(ISNUMBER(E26),E26,""))</f>
        <v/>
      </c>
    </row>
    <row r="28" spans="2:16" ht="63" customHeight="1">
      <c r="B28" s="325" t="s">
        <v>115</v>
      </c>
      <c r="C28" s="326"/>
      <c r="D28" s="326"/>
      <c r="E28" s="326"/>
      <c r="F28" s="327"/>
      <c r="J28" s="43"/>
    </row>
    <row r="29" spans="2:16" ht="39.950000000000003" customHeight="1">
      <c r="B29" s="243" t="s">
        <v>116</v>
      </c>
      <c r="C29" s="244" t="s">
        <v>117</v>
      </c>
      <c r="D29" s="27"/>
      <c r="F29" s="245"/>
      <c r="J29" s="43"/>
    </row>
    <row r="30" spans="2:16" ht="108" customHeight="1">
      <c r="B30" s="347" t="s">
        <v>118</v>
      </c>
      <c r="C30" s="348"/>
      <c r="D30" s="348"/>
      <c r="E30" s="348"/>
      <c r="F30" s="349"/>
      <c r="J30" s="43"/>
    </row>
    <row r="31" spans="2:16" ht="39.950000000000003" customHeight="1"/>
    <row r="32" spans="2:16" ht="15.95" customHeight="1"/>
  </sheetData>
  <sheetProtection algorithmName="SHA-512" hashValue="V+hCCeLcGdyneDcF9+JF/essGU2EsmudM/67rfqcqrJDo2CEK7IneG5rGoUrjtJ0sbzhTVEM9nTsZlQ59ntO3A==" saltValue="RWuZtxbVCYoipOUJlPg97A==" spinCount="100000" sheet="1" objects="1" scenarios="1"/>
  <mergeCells count="19">
    <mergeCell ref="H6:J6"/>
    <mergeCell ref="E23:F23"/>
    <mergeCell ref="E24:F24"/>
    <mergeCell ref="E25:F25"/>
    <mergeCell ref="B6:F6"/>
    <mergeCell ref="C23:D23"/>
    <mergeCell ref="C24:D24"/>
    <mergeCell ref="C25:D25"/>
    <mergeCell ref="C22:D22"/>
    <mergeCell ref="B20:F20"/>
    <mergeCell ref="E21:F21"/>
    <mergeCell ref="E22:F22"/>
    <mergeCell ref="C21:D21"/>
    <mergeCell ref="B30:F30"/>
    <mergeCell ref="B2:F5"/>
    <mergeCell ref="B1:F1"/>
    <mergeCell ref="B28:F28"/>
    <mergeCell ref="E26:F26"/>
    <mergeCell ref="C26:D26"/>
  </mergeCells>
  <hyperlinks>
    <hyperlink ref="C29" r:id="rId1" xr:uid="{DE5CA8B3-84A1-1F4F-AADC-07C783E86BF7}"/>
  </hyperlinks>
  <pageMargins left="0.7" right="0.7" top="0.75" bottom="0.75" header="0.3" footer="0.3"/>
  <pageSetup scale="51" orientation="landscape" horizontalDpi="0" verticalDpi="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6403B-DCED-5240-83DA-7DA224EF90D4}">
  <sheetPr codeName="Sheet6"/>
  <dimension ref="B1:I25"/>
  <sheetViews>
    <sheetView showGridLines="0" zoomScaleNormal="100" workbookViewId="0"/>
  </sheetViews>
  <sheetFormatPr defaultColWidth="10.875" defaultRowHeight="15.95"/>
  <cols>
    <col min="1" max="1" width="2.875" style="14" customWidth="1"/>
    <col min="2" max="2" width="50.875" style="14" customWidth="1"/>
    <col min="3" max="3" width="20.875" style="14" customWidth="1"/>
    <col min="4" max="4" width="10.875" style="14"/>
    <col min="5" max="5" width="58.5" style="14" customWidth="1"/>
    <col min="6" max="6" width="20.875" style="14" customWidth="1"/>
    <col min="7" max="7" width="10.875" style="14"/>
    <col min="8" max="8" width="22.375" style="14" customWidth="1"/>
    <col min="9" max="16384" width="10.875" style="14"/>
  </cols>
  <sheetData>
    <row r="1" spans="2:9" ht="39.950000000000003" customHeight="1" thickBot="1">
      <c r="B1" s="375" t="s">
        <v>119</v>
      </c>
      <c r="C1" s="375"/>
      <c r="D1" s="375"/>
      <c r="E1" s="375"/>
      <c r="F1" s="375"/>
      <c r="H1" s="216" t="s">
        <v>0</v>
      </c>
      <c r="I1" s="20"/>
    </row>
    <row r="2" spans="2:9" ht="42" customHeight="1" thickBot="1">
      <c r="B2" s="377" t="s">
        <v>120</v>
      </c>
      <c r="C2" s="377"/>
      <c r="D2" s="377"/>
      <c r="E2" s="377"/>
      <c r="F2" s="377"/>
      <c r="H2" s="218" t="s">
        <v>2</v>
      </c>
      <c r="I2" s="20"/>
    </row>
    <row r="3" spans="2:9" ht="42" customHeight="1" thickBot="1">
      <c r="B3" s="377"/>
      <c r="C3" s="377"/>
      <c r="D3" s="377"/>
      <c r="E3" s="377"/>
      <c r="F3" s="377"/>
      <c r="H3" s="219" t="s">
        <v>3</v>
      </c>
      <c r="I3" s="20"/>
    </row>
    <row r="4" spans="2:9" s="54" customFormat="1" ht="42" customHeight="1" thickBot="1">
      <c r="B4" s="258" t="s">
        <v>121</v>
      </c>
      <c r="C4" s="376" t="s">
        <v>122</v>
      </c>
      <c r="D4" s="376"/>
      <c r="E4" s="53"/>
      <c r="F4" s="53"/>
      <c r="H4" s="220" t="s">
        <v>5</v>
      </c>
    </row>
    <row r="5" spans="2:9" ht="20.100000000000001" customHeight="1">
      <c r="B5" s="360" t="s">
        <v>123</v>
      </c>
      <c r="C5" s="360"/>
      <c r="D5" s="55"/>
      <c r="E5" s="360" t="s">
        <v>124</v>
      </c>
      <c r="F5" s="360"/>
      <c r="H5" s="365" t="s">
        <v>7</v>
      </c>
    </row>
    <row r="6" spans="2:9" ht="21.95" customHeight="1" thickBot="1">
      <c r="B6" s="56" t="s">
        <v>125</v>
      </c>
      <c r="C6" s="56" t="s">
        <v>126</v>
      </c>
      <c r="D6" s="57"/>
      <c r="E6" s="56" t="s">
        <v>125</v>
      </c>
      <c r="F6" s="56" t="s">
        <v>126</v>
      </c>
      <c r="H6" s="366"/>
    </row>
    <row r="7" spans="2:9" ht="32.1" customHeight="1">
      <c r="B7" s="310" t="s">
        <v>127</v>
      </c>
      <c r="C7" s="307">
        <v>25000</v>
      </c>
      <c r="D7" s="57"/>
      <c r="E7" s="310" t="s">
        <v>128</v>
      </c>
      <c r="F7" s="307">
        <v>40000</v>
      </c>
    </row>
    <row r="8" spans="2:9" ht="32.1" customHeight="1">
      <c r="B8" s="303"/>
      <c r="C8" s="304"/>
      <c r="D8" s="57"/>
      <c r="E8" s="303" t="s">
        <v>129</v>
      </c>
      <c r="F8" s="304">
        <v>52500</v>
      </c>
    </row>
    <row r="9" spans="2:9" ht="32.1" customHeight="1">
      <c r="B9" s="303"/>
      <c r="C9" s="304"/>
      <c r="D9" s="57"/>
      <c r="E9" s="303"/>
      <c r="F9" s="304"/>
    </row>
    <row r="10" spans="2:9" ht="32.1" customHeight="1">
      <c r="B10" s="303"/>
      <c r="C10" s="304"/>
      <c r="D10" s="57"/>
      <c r="E10" s="303"/>
      <c r="F10" s="304"/>
    </row>
    <row r="11" spans="2:9" ht="32.1" customHeight="1">
      <c r="B11" s="303"/>
      <c r="C11" s="304"/>
      <c r="D11" s="57"/>
      <c r="E11" s="303"/>
      <c r="F11" s="304"/>
    </row>
    <row r="12" spans="2:9" ht="32.1" customHeight="1">
      <c r="B12" s="303"/>
      <c r="C12" s="304"/>
      <c r="D12" s="57"/>
      <c r="E12" s="303"/>
      <c r="F12" s="304"/>
    </row>
    <row r="13" spans="2:9" ht="32.1" customHeight="1">
      <c r="B13" s="303"/>
      <c r="C13" s="304"/>
      <c r="D13" s="57"/>
      <c r="E13" s="303"/>
      <c r="F13" s="304"/>
    </row>
    <row r="14" spans="2:9" ht="32.1" customHeight="1" thickBot="1">
      <c r="B14" s="305"/>
      <c r="C14" s="306"/>
      <c r="D14" s="57"/>
      <c r="E14" s="305"/>
      <c r="F14" s="306"/>
    </row>
    <row r="15" spans="2:9" ht="32.1" customHeight="1">
      <c r="B15" s="58" t="s">
        <v>130</v>
      </c>
      <c r="C15" s="59">
        <f>SUM(C7:C14)</f>
        <v>25000</v>
      </c>
      <c r="D15" s="57"/>
      <c r="E15" s="56" t="s">
        <v>131</v>
      </c>
      <c r="F15" s="59">
        <f>SUM(F7:F14)</f>
        <v>92500</v>
      </c>
    </row>
    <row r="16" spans="2:9" ht="21.95" customHeight="1">
      <c r="D16" s="57"/>
    </row>
    <row r="17" spans="2:6" ht="65.099999999999994" customHeight="1">
      <c r="B17" s="325" t="s">
        <v>132</v>
      </c>
      <c r="C17" s="326"/>
      <c r="D17" s="326"/>
      <c r="E17" s="326"/>
      <c r="F17" s="327"/>
    </row>
    <row r="18" spans="2:6" ht="32.1" customHeight="1">
      <c r="B18" s="370" t="s">
        <v>133</v>
      </c>
      <c r="C18" s="371"/>
      <c r="D18" s="367" t="s">
        <v>134</v>
      </c>
      <c r="E18" s="367"/>
      <c r="F18" s="254"/>
    </row>
    <row r="19" spans="2:6" ht="32.1" customHeight="1">
      <c r="B19" s="368" t="s">
        <v>135</v>
      </c>
      <c r="C19" s="369"/>
      <c r="D19" s="372" t="s">
        <v>136</v>
      </c>
      <c r="E19" s="373"/>
      <c r="F19" s="374"/>
    </row>
    <row r="20" spans="2:6" ht="20.100000000000001">
      <c r="B20" s="252"/>
    </row>
    <row r="21" spans="2:6">
      <c r="B21" s="61"/>
    </row>
    <row r="22" spans="2:6">
      <c r="B22" s="61"/>
    </row>
    <row r="23" spans="2:6">
      <c r="B23" s="61"/>
    </row>
    <row r="24" spans="2:6">
      <c r="B24" s="62"/>
    </row>
    <row r="25" spans="2:6">
      <c r="B25" s="61"/>
    </row>
  </sheetData>
  <sheetProtection algorithmName="SHA-512" hashValue="wbbT/nWXvvKdUY0WDb343yRzdLMHiTwF8ZhTAoailQia3A1TYhGX6amwq7j8KdvqB600nXL982xHJTCbJZorDA==" saltValue="PuFi5k+1aSq5GyH2YS2jgw==" spinCount="100000" sheet="1" objects="1" scenarios="1"/>
  <mergeCells count="11">
    <mergeCell ref="B1:F1"/>
    <mergeCell ref="E5:F5"/>
    <mergeCell ref="B5:C5"/>
    <mergeCell ref="C4:D4"/>
    <mergeCell ref="B2:F3"/>
    <mergeCell ref="H5:H6"/>
    <mergeCell ref="D18:E18"/>
    <mergeCell ref="B19:C19"/>
    <mergeCell ref="B18:C18"/>
    <mergeCell ref="D19:F19"/>
    <mergeCell ref="B17:F17"/>
  </mergeCells>
  <hyperlinks>
    <hyperlink ref="C4" r:id="rId1" display="DSIRE Database (web link)" xr:uid="{2F7041F8-C8A3-854C-9B50-EE3845B6E879}"/>
    <hyperlink ref="C4:D4" r:id="rId2" display="https://www.dsireusa.org/" xr:uid="{5F6632B2-29A1-A143-AE01-A32EB62524AA}"/>
    <hyperlink ref="D18" r:id="rId3" xr:uid="{403959FD-1234-2245-A7DD-4D9120896F6C}"/>
    <hyperlink ref="D19" r:id="rId4" xr:uid="{0716EC4D-18B2-9649-B413-255F303F75D3}"/>
  </hyperlink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C790E-5344-FA48-BBDA-635071F68C8C}">
  <sheetPr codeName="Sheet5">
    <pageSetUpPr fitToPage="1"/>
  </sheetPr>
  <dimension ref="B1:Q48"/>
  <sheetViews>
    <sheetView showGridLines="0" zoomScaleNormal="100" workbookViewId="0"/>
  </sheetViews>
  <sheetFormatPr defaultColWidth="10.875" defaultRowHeight="15.95"/>
  <cols>
    <col min="1" max="1" width="2.875" style="14" customWidth="1"/>
    <col min="2" max="2" width="37.375" style="14" customWidth="1"/>
    <col min="3" max="4" width="14.875" style="14" customWidth="1"/>
    <col min="5" max="5" width="15.875" style="20" customWidth="1"/>
    <col min="6" max="6" width="14.875" style="20" customWidth="1"/>
    <col min="7" max="7" width="19.375" style="14" customWidth="1"/>
    <col min="8" max="8" width="3.875" style="14" customWidth="1"/>
    <col min="9" max="9" width="43.125" style="14" customWidth="1"/>
    <col min="10" max="10" width="15.875" style="14" customWidth="1"/>
    <col min="11" max="11" width="13.375" style="14" customWidth="1"/>
    <col min="12" max="12" width="15.125" style="14" customWidth="1"/>
    <col min="13" max="13" width="13.375" style="14" customWidth="1"/>
    <col min="14" max="14" width="12.875" style="69" customWidth="1"/>
    <col min="15" max="15" width="14.625" style="20" customWidth="1"/>
    <col min="16" max="16" width="4" style="20" hidden="1" customWidth="1"/>
    <col min="17" max="17" width="29.5" style="14" bestFit="1" customWidth="1"/>
    <col min="18" max="18" width="5.625" style="14" bestFit="1" customWidth="1"/>
    <col min="19" max="16384" width="10.875" style="14"/>
  </cols>
  <sheetData>
    <row r="1" spans="2:17" ht="39.950000000000003" customHeight="1" thickBot="1">
      <c r="B1" s="332" t="s">
        <v>137</v>
      </c>
      <c r="C1" s="332"/>
      <c r="D1" s="332"/>
      <c r="E1" s="332"/>
      <c r="F1" s="332"/>
      <c r="G1" s="332"/>
      <c r="H1" s="31"/>
      <c r="I1" s="265" t="s">
        <v>0</v>
      </c>
      <c r="L1" s="65"/>
      <c r="M1" s="65"/>
      <c r="N1" s="63"/>
    </row>
    <row r="2" spans="2:17" ht="42" customHeight="1" thickBot="1">
      <c r="B2" s="396" t="s">
        <v>138</v>
      </c>
      <c r="C2" s="396"/>
      <c r="D2" s="396"/>
      <c r="E2" s="396"/>
      <c r="F2" s="396"/>
      <c r="G2" s="396"/>
      <c r="H2" s="64"/>
      <c r="I2" s="260" t="s">
        <v>2</v>
      </c>
      <c r="L2" s="65"/>
      <c r="M2" s="65"/>
      <c r="N2" s="65"/>
      <c r="P2" s="66" t="s">
        <v>139</v>
      </c>
    </row>
    <row r="3" spans="2:17" ht="32.1" customHeight="1" thickBot="1">
      <c r="B3" s="396"/>
      <c r="C3" s="396"/>
      <c r="D3" s="396"/>
      <c r="E3" s="396"/>
      <c r="F3" s="396"/>
      <c r="G3" s="396"/>
      <c r="H3" s="64"/>
      <c r="I3" s="261" t="s">
        <v>3</v>
      </c>
      <c r="L3" s="65"/>
      <c r="M3" s="65"/>
      <c r="N3" s="65"/>
      <c r="P3" s="66" t="s">
        <v>140</v>
      </c>
    </row>
    <row r="4" spans="2:17" ht="32.1" customHeight="1" thickBot="1">
      <c r="B4" s="396"/>
      <c r="C4" s="396"/>
      <c r="D4" s="396"/>
      <c r="E4" s="396"/>
      <c r="F4" s="396"/>
      <c r="G4" s="396"/>
      <c r="H4" s="64"/>
      <c r="I4" s="262" t="s">
        <v>5</v>
      </c>
      <c r="L4" s="65"/>
      <c r="M4" s="65"/>
      <c r="N4" s="65"/>
    </row>
    <row r="5" spans="2:17" ht="32.1" customHeight="1" thickBot="1">
      <c r="B5" s="396"/>
      <c r="C5" s="396"/>
      <c r="D5" s="396"/>
      <c r="E5" s="396"/>
      <c r="F5" s="396"/>
      <c r="G5" s="396"/>
      <c r="H5" s="64"/>
      <c r="I5" s="263" t="s">
        <v>7</v>
      </c>
      <c r="N5" s="65"/>
      <c r="Q5" s="29"/>
    </row>
    <row r="6" spans="2:17" ht="32.1" customHeight="1" thickBot="1">
      <c r="B6" s="387" t="s">
        <v>141</v>
      </c>
      <c r="C6" s="387"/>
      <c r="D6" s="387"/>
      <c r="E6" s="387"/>
      <c r="F6" s="387"/>
      <c r="G6" s="387"/>
      <c r="H6" s="67"/>
      <c r="I6" s="68"/>
      <c r="K6" s="67"/>
    </row>
    <row r="7" spans="2:17" ht="42" customHeight="1" thickBot="1">
      <c r="B7" s="70" t="s">
        <v>43</v>
      </c>
      <c r="C7" s="34" t="s">
        <v>142</v>
      </c>
      <c r="D7" s="34" t="s">
        <v>143</v>
      </c>
      <c r="E7" s="34" t="s">
        <v>106</v>
      </c>
      <c r="F7" s="34" t="s">
        <v>144</v>
      </c>
      <c r="G7" s="35" t="s">
        <v>145</v>
      </c>
      <c r="H7" s="32"/>
      <c r="I7" s="71" t="s">
        <v>146</v>
      </c>
      <c r="J7" s="72" t="s">
        <v>47</v>
      </c>
      <c r="K7" s="73" t="s">
        <v>147</v>
      </c>
      <c r="L7" s="73" t="s">
        <v>148</v>
      </c>
      <c r="M7" s="74" t="s">
        <v>149</v>
      </c>
      <c r="N7" s="75" t="s">
        <v>150</v>
      </c>
      <c r="O7" s="14"/>
      <c r="P7" s="14"/>
    </row>
    <row r="8" spans="2:17" ht="39.950000000000003" customHeight="1">
      <c r="B8" s="249" t="str">
        <f>IF(ISBLANK('Energy Worksheet'!E10),"",'Energy Worksheet'!E10)</f>
        <v>Example: Attic Insulation R-60</v>
      </c>
      <c r="C8" s="76">
        <f>IF(ISBLANK('Energy Worksheet'!E10),"",IFERROR('Energy Worksheet'!F10,""))</f>
        <v>5000</v>
      </c>
      <c r="D8" s="76">
        <f>IF(ISBLANK('Energy Worksheet'!E10),"",IFERROR('Energy Worksheet'!G10,""))</f>
        <v>0</v>
      </c>
      <c r="E8" s="77">
        <f>IF(ISBLANK('Energy Worksheet'!E10),"",('Costs Worksheet'!E8))</f>
        <v>7000</v>
      </c>
      <c r="F8" s="78">
        <f>IF(ISERROR(E8/(C8+(D8*'Measure Selection'!$M$25))),"",E8/(C8+(D8*'Measure Selection'!$M$25)))</f>
        <v>1.4</v>
      </c>
      <c r="G8" s="308" t="s">
        <v>139</v>
      </c>
      <c r="H8" s="32"/>
      <c r="I8" s="79" t="s">
        <v>151</v>
      </c>
      <c r="J8" s="80">
        <v>0</v>
      </c>
      <c r="K8" s="81">
        <f>IFERROR('Energy Worksheet'!C10,"")</f>
        <v>500000</v>
      </c>
      <c r="L8" s="81">
        <f>IFERROR('Energy Worksheet'!C11,"")</f>
        <v>3000</v>
      </c>
      <c r="M8" s="251" t="str">
        <f>IFERROR(IF(ISBLANK('Energy Worksheet'!C12),"EUI Not Available",'Energy Worksheet'!C12),"EUI Not Available")</f>
        <v>Need total bldg sq ft</v>
      </c>
      <c r="N8" s="82" t="str">
        <f>IF(ISERROR(M8/M8),"",M8/M8)</f>
        <v/>
      </c>
      <c r="P8" s="14"/>
    </row>
    <row r="9" spans="2:17" ht="39.950000000000003" customHeight="1" thickBot="1">
      <c r="B9" s="249" t="str">
        <f>IF(ISBLANK('Energy Worksheet'!E11),"",'Energy Worksheet'!E11)</f>
        <v>Example: LED Lighting &amp; Controls</v>
      </c>
      <c r="C9" s="76">
        <f>IF(ISBLANK('Energy Worksheet'!E11),"",IFERROR('Energy Worksheet'!F11,""))</f>
        <v>12000</v>
      </c>
      <c r="D9" s="76">
        <f>IF(ISBLANK('Energy Worksheet'!E11),"",IFERROR('Energy Worksheet'!G11,""))</f>
        <v>0</v>
      </c>
      <c r="E9" s="77">
        <f>IF(ISBLANK('Energy Worksheet'!E11),"",('Costs Worksheet'!E9))</f>
        <v>25000</v>
      </c>
      <c r="F9" s="78">
        <f>IF(ISERROR(E9/(C9+(D9*'Measure Selection'!$M$25))),"",E9/(C9+(D9*'Measure Selection'!$M$25)))</f>
        <v>2.0833333333333335</v>
      </c>
      <c r="G9" s="308" t="s">
        <v>139</v>
      </c>
      <c r="H9" s="83"/>
      <c r="I9" s="84" t="str">
        <f>IFERROR(IF(ISBLANK('Getting Started'!C12),"Proposed Project",'Getting Started'!C12),"Proposed Project")</f>
        <v>Enter name of project</v>
      </c>
      <c r="J9" s="85">
        <f>IFERROR(E20+E28,"")</f>
        <v>225000</v>
      </c>
      <c r="K9" s="86">
        <f>IFERROR(K8-C20-C28,"")</f>
        <v>385000</v>
      </c>
      <c r="L9" s="86">
        <f>IFERROR(L8-D20-D28,"")</f>
        <v>3000</v>
      </c>
      <c r="M9" s="87" t="str">
        <f>IF(ISERROR(((K9)/'Output Dashboard'!C5/M23)+(L9*M24)/'Output Dashboard'!C5),"Need total bldg sq ft",((K9)/'Output Dashboard'!C5/M23)+(L9*M24)/'Output Dashboard'!C5)</f>
        <v>Need total bldg sq ft</v>
      </c>
      <c r="N9" s="88" t="str">
        <f>IF(ISERROR(M9/M8),"",M9/M8)</f>
        <v/>
      </c>
      <c r="P9" s="14"/>
    </row>
    <row r="10" spans="2:17" ht="39.950000000000003" customHeight="1" thickBot="1">
      <c r="B10" s="249" t="str">
        <f>IF(ISBLANK('Energy Worksheet'!E12),"",'Energy Worksheet'!E12)</f>
        <v>Example: ENERGY STAR Appliances</v>
      </c>
      <c r="C10" s="76">
        <f>IF(ISBLANK('Energy Worksheet'!E12),"",IFERROR('Energy Worksheet'!F12,""))</f>
        <v>3000</v>
      </c>
      <c r="D10" s="76">
        <f>IF(ISBLANK('Energy Worksheet'!E12),"",IFERROR('Energy Worksheet'!G12,""))</f>
        <v>0</v>
      </c>
      <c r="E10" s="77">
        <f>IF(ISBLANK('Energy Worksheet'!E12),"",('Costs Worksheet'!E10))</f>
        <v>18000</v>
      </c>
      <c r="F10" s="78">
        <f>IF(ISERROR(E10/(C10+(D10*'Measure Selection'!$M$25))),"",E10/(C10+(D10*'Measure Selection'!$M$25)))</f>
        <v>6</v>
      </c>
      <c r="G10" s="308" t="s">
        <v>139</v>
      </c>
      <c r="H10" s="89"/>
      <c r="P10" s="14"/>
    </row>
    <row r="11" spans="2:17" ht="39.950000000000003" customHeight="1" thickBot="1">
      <c r="B11" s="249" t="str">
        <f>IF(ISBLANK('Energy Worksheet'!E13),"",'Energy Worksheet'!E13)</f>
        <v/>
      </c>
      <c r="C11" s="76" t="str">
        <f>IF(ISBLANK('Energy Worksheet'!E13),"",IFERROR('Energy Worksheet'!F13,""))</f>
        <v/>
      </c>
      <c r="D11" s="76" t="str">
        <f>IF(ISBLANK('Energy Worksheet'!E13),"",IFERROR('Energy Worksheet'!G13,""))</f>
        <v/>
      </c>
      <c r="E11" s="77" t="str">
        <f>IF(ISBLANK('Energy Worksheet'!E13),"",('Costs Worksheet'!E11))</f>
        <v/>
      </c>
      <c r="F11" s="78" t="str">
        <f>IF(ISERROR(E11/(C11+(D11*'Measure Selection'!$M$25))),"",E11/(C11+(D11*'Measure Selection'!$M$25)))</f>
        <v/>
      </c>
      <c r="G11" s="308"/>
      <c r="H11" s="90"/>
      <c r="I11" s="392" t="s">
        <v>152</v>
      </c>
      <c r="J11" s="393"/>
      <c r="P11" s="14"/>
    </row>
    <row r="12" spans="2:17" ht="39.950000000000003" customHeight="1">
      <c r="B12" s="249" t="str">
        <f>IF(ISBLANK('Energy Worksheet'!E14),"",'Energy Worksheet'!E14)</f>
        <v/>
      </c>
      <c r="C12" s="76" t="str">
        <f>IF(ISBLANK('Energy Worksheet'!E14),"",IFERROR('Energy Worksheet'!F14,""))</f>
        <v/>
      </c>
      <c r="D12" s="76" t="str">
        <f>IF(ISBLANK('Energy Worksheet'!E14),"",IFERROR('Energy Worksheet'!G14,""))</f>
        <v/>
      </c>
      <c r="E12" s="77" t="str">
        <f>IF(ISBLANK('Energy Worksheet'!E14),"",('Costs Worksheet'!E12))</f>
        <v/>
      </c>
      <c r="F12" s="78" t="str">
        <f>IF(ISERROR(E12/(C12+(D12*'Measure Selection'!$M$25))),"",E12/(C12+(D12*'Measure Selection'!$M$25)))</f>
        <v/>
      </c>
      <c r="G12" s="308"/>
      <c r="H12" s="90"/>
      <c r="I12" s="91" t="s">
        <v>153</v>
      </c>
      <c r="J12" s="92" t="str">
        <f>IFERROR(((C20/$M$23/'Getting Started'!$C$13)+((D20*$M$24)/'Getting Started'!$C$13))/$M$8,"")</f>
        <v/>
      </c>
      <c r="P12" s="14"/>
    </row>
    <row r="13" spans="2:17" ht="39.950000000000003" customHeight="1" thickBot="1">
      <c r="B13" s="249" t="str">
        <f>IF(ISBLANK('Energy Worksheet'!E15),"",'Energy Worksheet'!E15)</f>
        <v/>
      </c>
      <c r="C13" s="76" t="str">
        <f>IF(ISBLANK('Energy Worksheet'!E15),"",IFERROR('Energy Worksheet'!F15,""))</f>
        <v/>
      </c>
      <c r="D13" s="76" t="str">
        <f>IF(ISBLANK('Energy Worksheet'!E15),"",IFERROR('Energy Worksheet'!G15,""))</f>
        <v/>
      </c>
      <c r="E13" s="77" t="str">
        <f>IF(ISBLANK('Energy Worksheet'!E15),"",('Costs Worksheet'!E13))</f>
        <v/>
      </c>
      <c r="F13" s="78" t="str">
        <f>IF(ISERROR(E13/(C13+(D13*'Measure Selection'!$M$25))),"",E13/(C13+(D13*'Measure Selection'!$M$25)))</f>
        <v/>
      </c>
      <c r="G13" s="308"/>
      <c r="H13" s="90"/>
      <c r="I13" s="93" t="s">
        <v>154</v>
      </c>
      <c r="J13" s="94" t="str">
        <f>IFERROR(((C28/$M$23/'Getting Started'!$C$13)+((D28*$M$24)/'Getting Started'!$C$13))/$M$8,"")</f>
        <v/>
      </c>
    </row>
    <row r="14" spans="2:17" ht="39.950000000000003" customHeight="1" thickBot="1">
      <c r="B14" s="249" t="str">
        <f>IF(ISBLANK('Energy Worksheet'!E16),"",'Energy Worksheet'!E16)</f>
        <v/>
      </c>
      <c r="C14" s="76" t="str">
        <f>IF(ISBLANK('Energy Worksheet'!E16),"",IFERROR('Energy Worksheet'!F16,""))</f>
        <v/>
      </c>
      <c r="D14" s="76" t="str">
        <f>IF(ISBLANK('Energy Worksheet'!E16),"",IFERROR('Energy Worksheet'!G16,""))</f>
        <v/>
      </c>
      <c r="E14" s="77" t="str">
        <f>IF(ISBLANK('Energy Worksheet'!E16),"",('Costs Worksheet'!E14))</f>
        <v/>
      </c>
      <c r="F14" s="78" t="str">
        <f>IF(ISERROR(E14/(C14+(D14*'Measure Selection'!$M$25))),"",E14/(C14+(D14*'Measure Selection'!$M$25)))</f>
        <v/>
      </c>
      <c r="G14" s="308"/>
      <c r="H14" s="36"/>
      <c r="I14" s="95" t="s">
        <v>155</v>
      </c>
      <c r="J14" s="96" t="str">
        <f>IFERROR(N8-N9,"")</f>
        <v/>
      </c>
    </row>
    <row r="15" spans="2:17" ht="39.950000000000003" customHeight="1" thickBot="1">
      <c r="B15" s="249" t="str">
        <f>IF(ISBLANK('Energy Worksheet'!E17),"",'Energy Worksheet'!E17)</f>
        <v/>
      </c>
      <c r="C15" s="76" t="str">
        <f>IF(ISBLANK('Energy Worksheet'!E17),"",IFERROR('Energy Worksheet'!F17,""))</f>
        <v/>
      </c>
      <c r="D15" s="76" t="str">
        <f>IF(ISBLANK('Energy Worksheet'!E17),"",IFERROR('Energy Worksheet'!G17,""))</f>
        <v/>
      </c>
      <c r="E15" s="77" t="str">
        <f>IF(ISBLANK('Energy Worksheet'!E17),"",('Costs Worksheet'!E15))</f>
        <v/>
      </c>
      <c r="F15" s="78" t="str">
        <f>IF(ISERROR(E15/(C15+(D15*'Measure Selection'!$M$25))),"",E15/(C15+(D15*'Measure Selection'!$M$25)))</f>
        <v/>
      </c>
      <c r="G15" s="308"/>
      <c r="H15" s="36"/>
      <c r="N15" s="14"/>
      <c r="O15" s="14"/>
    </row>
    <row r="16" spans="2:17" ht="39.950000000000003" customHeight="1" thickBot="1">
      <c r="B16" s="249" t="str">
        <f>IF(ISBLANK('Energy Worksheet'!E18),"",'Energy Worksheet'!E18)</f>
        <v/>
      </c>
      <c r="C16" s="76" t="str">
        <f>IF(ISBLANK('Energy Worksheet'!E18),"",IFERROR('Energy Worksheet'!F18,""))</f>
        <v/>
      </c>
      <c r="D16" s="76" t="str">
        <f>IF(ISBLANK('Energy Worksheet'!E18),"",IFERROR('Energy Worksheet'!G18,""))</f>
        <v/>
      </c>
      <c r="E16" s="77" t="str">
        <f>IF(ISBLANK('Energy Worksheet'!E18),"",('Costs Worksheet'!E16))</f>
        <v/>
      </c>
      <c r="F16" s="78" t="str">
        <f>IF(ISERROR(E16/(C16+(D16*'Measure Selection'!$M$25))),"",E16/(C16+(D16*'Measure Selection'!$M$25)))</f>
        <v/>
      </c>
      <c r="G16" s="308"/>
      <c r="I16" s="400" t="s">
        <v>156</v>
      </c>
      <c r="J16" s="397" t="s">
        <v>157</v>
      </c>
      <c r="K16" s="398"/>
      <c r="L16" s="398" t="s">
        <v>158</v>
      </c>
      <c r="M16" s="399"/>
      <c r="N16" s="14"/>
      <c r="O16" s="97"/>
      <c r="P16" s="14"/>
    </row>
    <row r="17" spans="2:16" ht="39.950000000000003" customHeight="1" thickBot="1">
      <c r="B17" s="249" t="str">
        <f>IF(ISBLANK('Energy Worksheet'!E19),"",'Energy Worksheet'!E19)</f>
        <v/>
      </c>
      <c r="C17" s="76" t="str">
        <f>IF(ISBLANK('Energy Worksheet'!E19),"",IFERROR('Energy Worksheet'!F19,""))</f>
        <v/>
      </c>
      <c r="D17" s="76" t="str">
        <f>IF(ISBLANK('Energy Worksheet'!E19),"",IFERROR('Energy Worksheet'!G19,""))</f>
        <v/>
      </c>
      <c r="E17" s="77" t="str">
        <f>IF(ISBLANK('Energy Worksheet'!E19),"",('Costs Worksheet'!E17))</f>
        <v/>
      </c>
      <c r="F17" s="78" t="str">
        <f>IF(ISERROR(E17/(C17+(D17*'Measure Selection'!$M$25))),"",E17/(C17+(D17*'Measure Selection'!$M$25)))</f>
        <v/>
      </c>
      <c r="G17" s="308"/>
      <c r="I17" s="401"/>
      <c r="J17" s="98" t="s">
        <v>159</v>
      </c>
      <c r="K17" s="99" t="s">
        <v>160</v>
      </c>
      <c r="L17" s="100" t="s">
        <v>159</v>
      </c>
      <c r="M17" s="101" t="s">
        <v>161</v>
      </c>
      <c r="P17" s="14"/>
    </row>
    <row r="18" spans="2:16" ht="39.950000000000003" customHeight="1">
      <c r="B18" s="249" t="str">
        <f>IF(ISBLANK('Energy Worksheet'!E20),"",'Energy Worksheet'!E20)</f>
        <v/>
      </c>
      <c r="C18" s="76" t="str">
        <f>IF(ISBLANK('Energy Worksheet'!E20),"",IFERROR('Energy Worksheet'!F20,""))</f>
        <v/>
      </c>
      <c r="D18" s="76" t="str">
        <f>IF(ISBLANK('Energy Worksheet'!E20),"",IFERROR('Energy Worksheet'!G20,""))</f>
        <v/>
      </c>
      <c r="E18" s="77" t="str">
        <f>IF(ISBLANK('Energy Worksheet'!E20),"",('Costs Worksheet'!E18))</f>
        <v/>
      </c>
      <c r="F18" s="78" t="str">
        <f>IF(ISERROR(E18/(C18+(D18*'Measure Selection'!$M$25))),"",E18/(C18+(D18*'Measure Selection'!$M$25)))</f>
        <v/>
      </c>
      <c r="G18" s="308"/>
      <c r="I18" s="91" t="s">
        <v>153</v>
      </c>
      <c r="J18" s="102">
        <f>E20</f>
        <v>50000</v>
      </c>
      <c r="K18" s="103">
        <f>F20</f>
        <v>2.5</v>
      </c>
      <c r="L18" s="104">
        <f>E20-'Incentives Worksheet'!C15</f>
        <v>25000</v>
      </c>
      <c r="M18" s="105">
        <f>IFERROR((L18/(C20+(D20*$M$25))),"N/A")</f>
        <v>1.25</v>
      </c>
      <c r="P18" s="14"/>
    </row>
    <row r="19" spans="2:16" ht="39.950000000000003" customHeight="1" thickBot="1">
      <c r="B19" s="250" t="str">
        <f>IF(ISBLANK('Energy Worksheet'!E21),"",'Energy Worksheet'!E21)</f>
        <v/>
      </c>
      <c r="C19" s="106" t="str">
        <f>IF(ISBLANK('Energy Worksheet'!E21),"",IFERROR('Energy Worksheet'!F21,""))</f>
        <v/>
      </c>
      <c r="D19" s="106" t="str">
        <f>IF(ISBLANK('Energy Worksheet'!E21),"",IFERROR('Energy Worksheet'!G21,""))</f>
        <v/>
      </c>
      <c r="E19" s="107" t="str">
        <f>IF(ISBLANK('Energy Worksheet'!E21),"",('Costs Worksheet'!E19))</f>
        <v/>
      </c>
      <c r="F19" s="108" t="str">
        <f>IF(ISERROR(E19/(C19+(D19*'Measure Selection'!$M$25))),"",E19/(C19+(D19*'Measure Selection'!$M$25)))</f>
        <v/>
      </c>
      <c r="G19" s="309"/>
      <c r="I19" s="93" t="s">
        <v>154</v>
      </c>
      <c r="J19" s="109">
        <f>E28</f>
        <v>175000</v>
      </c>
      <c r="K19" s="110">
        <f>F28</f>
        <v>1.8421052631578947</v>
      </c>
      <c r="L19" s="111">
        <f>E28-'Incentives Worksheet'!F15</f>
        <v>82500</v>
      </c>
      <c r="M19" s="112">
        <f>IFERROR(L19/(C28+(D28*M25)),"N/A")</f>
        <v>0.86842105263157898</v>
      </c>
      <c r="P19" s="14"/>
    </row>
    <row r="20" spans="2:16" ht="36" customHeight="1" thickBot="1">
      <c r="B20" s="113" t="s">
        <v>162</v>
      </c>
      <c r="C20" s="114">
        <f>SUMIF(G8:G19,"Yes",C8:C19)</f>
        <v>20000</v>
      </c>
      <c r="D20" s="114">
        <f>SUMIF(G8:G19,"Yes",D8:D19)</f>
        <v>0</v>
      </c>
      <c r="E20" s="115">
        <f>SUMIF(G8:G19,"Yes",E8:E19)</f>
        <v>50000</v>
      </c>
      <c r="F20" s="116">
        <f>IF(ISERROR(E20/(C20+(D20*'Measure Selection'!$M$25))),"N/A",E20/(C20+(D20*'Measure Selection'!$M$25)))</f>
        <v>2.5</v>
      </c>
      <c r="I20" s="117" t="s">
        <v>163</v>
      </c>
      <c r="J20" s="118">
        <f>SUM(J18:J19)</f>
        <v>225000</v>
      </c>
      <c r="K20" s="119">
        <f>IF(ISERROR(J20/(C20+C28+(D20*$M$25))),"N/A",J20/(C20+C28+(D20*$M$25)))</f>
        <v>1.9565217391304348</v>
      </c>
      <c r="L20" s="120">
        <f>IFERROR(SUM(L18:L19),"")</f>
        <v>107500</v>
      </c>
      <c r="M20" s="121">
        <f>IFERROR(L20/((C20+C28)+((D20+D28)*M25)),"N/A")</f>
        <v>0.93478260869565222</v>
      </c>
      <c r="P20" s="14"/>
    </row>
    <row r="21" spans="2:16" ht="36" customHeight="1" thickBot="1">
      <c r="B21" s="387" t="s">
        <v>164</v>
      </c>
      <c r="C21" s="387"/>
      <c r="D21" s="387"/>
      <c r="E21" s="387"/>
      <c r="F21" s="387"/>
      <c r="G21" s="387"/>
      <c r="I21" s="248" t="s">
        <v>165</v>
      </c>
      <c r="J21" s="122"/>
      <c r="K21" s="122"/>
      <c r="L21" s="248"/>
      <c r="O21" s="14"/>
      <c r="P21" s="14"/>
    </row>
    <row r="22" spans="2:16" ht="36" customHeight="1">
      <c r="B22" s="123" t="s">
        <v>112</v>
      </c>
      <c r="C22" s="34" t="s">
        <v>80</v>
      </c>
      <c r="D22" s="34" t="s">
        <v>81</v>
      </c>
      <c r="E22" s="34" t="s">
        <v>113</v>
      </c>
      <c r="F22" s="34" t="s">
        <v>166</v>
      </c>
      <c r="G22" s="35" t="s">
        <v>167</v>
      </c>
      <c r="J22" s="394" t="s">
        <v>168</v>
      </c>
      <c r="K22" s="395"/>
      <c r="L22" s="395"/>
      <c r="M22" s="124"/>
      <c r="O22" s="14"/>
      <c r="P22" s="14"/>
    </row>
    <row r="23" spans="2:16" ht="39.950000000000003" customHeight="1">
      <c r="B23" s="125" t="str">
        <f>IF(ISBLANK('Energy Worksheet'!I10),"",'Energy Worksheet'!I10)</f>
        <v>Example: Solar PV System</v>
      </c>
      <c r="C23" s="126">
        <f>IF(ISBLANK('Energy Worksheet'!I10),"",IFERROR('Energy Worksheet'!K10,""))</f>
        <v>95000</v>
      </c>
      <c r="D23" s="126">
        <f>IF(ISBLANK('Energy Worksheet'!I10),"",IFERROR('Energy Worksheet'!L10,""))</f>
        <v>0</v>
      </c>
      <c r="E23" s="127">
        <f>IF(ISBLANK('Energy Worksheet'!I10),"",IFERROR('Costs Worksheet'!C22,""))</f>
        <v>175000</v>
      </c>
      <c r="F23" s="128">
        <f>IFERROR(E23/(C23+(D23*'Measure Selection'!$M$25)),"")</f>
        <v>1.8421052631578947</v>
      </c>
      <c r="G23" s="308" t="s">
        <v>139</v>
      </c>
      <c r="J23" s="388" t="s">
        <v>169</v>
      </c>
      <c r="K23" s="389"/>
      <c r="L23" s="389"/>
      <c r="M23" s="129">
        <v>0.29307107020000001</v>
      </c>
      <c r="O23" s="14"/>
    </row>
    <row r="24" spans="2:16" ht="39.950000000000003" customHeight="1">
      <c r="B24" s="125" t="str">
        <f>IF(ISBLANK('Energy Worksheet'!I11),"",'Energy Worksheet'!I11)</f>
        <v/>
      </c>
      <c r="C24" s="126" t="str">
        <f>IF(ISBLANK('Energy Worksheet'!I11),"",IFERROR('Energy Worksheet'!K11,""))</f>
        <v/>
      </c>
      <c r="D24" s="126" t="str">
        <f>IF(ISBLANK('Energy Worksheet'!I11),"",IFERROR('Energy Worksheet'!L11,""))</f>
        <v/>
      </c>
      <c r="E24" s="127" t="str">
        <f>IF(ISBLANK('Energy Worksheet'!I11),"",IFERROR('Costs Worksheet'!C23,""))</f>
        <v/>
      </c>
      <c r="F24" s="128" t="str">
        <f>IFERROR(E24/(C24+(D24*'Measure Selection'!$M$25)),"")</f>
        <v/>
      </c>
      <c r="G24" s="308"/>
      <c r="J24" s="388" t="s">
        <v>170</v>
      </c>
      <c r="K24" s="389"/>
      <c r="L24" s="389"/>
      <c r="M24" s="129">
        <v>99.976100000000002</v>
      </c>
      <c r="O24" s="14"/>
    </row>
    <row r="25" spans="2:16" ht="39.950000000000003" customHeight="1" thickBot="1">
      <c r="B25" s="125" t="str">
        <f>IF(ISBLANK('Energy Worksheet'!I12),"",'Energy Worksheet'!I12)</f>
        <v/>
      </c>
      <c r="C25" s="126" t="str">
        <f>IF(ISBLANK('Energy Worksheet'!I12),"",IFERROR('Energy Worksheet'!K12,""))</f>
        <v/>
      </c>
      <c r="D25" s="126" t="str">
        <f>IF(ISBLANK('Energy Worksheet'!I12),"",IFERROR('Energy Worksheet'!L12,""))</f>
        <v/>
      </c>
      <c r="E25" s="127" t="str">
        <f>IF(ISBLANK('Energy Worksheet'!I12),"",IFERROR('Costs Worksheet'!C24,""))</f>
        <v/>
      </c>
      <c r="F25" s="128" t="str">
        <f>IFERROR(E25/(C25+(D25*'Measure Selection'!$M$25)),"")</f>
        <v/>
      </c>
      <c r="G25" s="308"/>
      <c r="J25" s="390" t="s">
        <v>171</v>
      </c>
      <c r="K25" s="391"/>
      <c r="L25" s="391"/>
      <c r="M25" s="130">
        <v>29.3001</v>
      </c>
      <c r="O25" s="14"/>
    </row>
    <row r="26" spans="2:16" ht="39.950000000000003" customHeight="1">
      <c r="B26" s="125" t="str">
        <f>IF(ISBLANK('Energy Worksheet'!I13),"",'Energy Worksheet'!I13)</f>
        <v/>
      </c>
      <c r="C26" s="126" t="str">
        <f>IF(ISBLANK('Energy Worksheet'!I13),"",IFERROR('Energy Worksheet'!K13,""))</f>
        <v/>
      </c>
      <c r="D26" s="126" t="str">
        <f>IF(ISBLANK('Energy Worksheet'!I13),"",IFERROR('Energy Worksheet'!L13,""))</f>
        <v/>
      </c>
      <c r="E26" s="127" t="str">
        <f>IF(ISBLANK('Energy Worksheet'!I13),"",IFERROR('Costs Worksheet'!C25,""))</f>
        <v/>
      </c>
      <c r="F26" s="128" t="str">
        <f>IFERROR(E26/(C26+(D26*'Measure Selection'!$M$25)),"")</f>
        <v/>
      </c>
      <c r="G26" s="308"/>
      <c r="I26" s="131"/>
    </row>
    <row r="27" spans="2:16" ht="39.950000000000003" customHeight="1" thickBot="1">
      <c r="B27" s="132" t="str">
        <f>IF(ISBLANK('Energy Worksheet'!I14),"",'Energy Worksheet'!I14)</f>
        <v/>
      </c>
      <c r="C27" s="133" t="str">
        <f>IF(ISBLANK('Energy Worksheet'!I14),"",IFERROR('Energy Worksheet'!K14,""))</f>
        <v/>
      </c>
      <c r="D27" s="133" t="str">
        <f>IF(ISBLANK('Energy Worksheet'!I14),"",IFERROR('Energy Worksheet'!L14,""))</f>
        <v/>
      </c>
      <c r="E27" s="134" t="str">
        <f>IF(ISBLANK('Energy Worksheet'!I14),"",IFERROR('Costs Worksheet'!C26,""))</f>
        <v/>
      </c>
      <c r="F27" s="135" t="str">
        <f>IFERROR(E27/(C27+(D27*'Measure Selection'!$M$25)),"")</f>
        <v/>
      </c>
      <c r="G27" s="309"/>
    </row>
    <row r="28" spans="2:16" ht="32.1" customHeight="1" thickBot="1">
      <c r="B28" s="136" t="s">
        <v>172</v>
      </c>
      <c r="C28" s="137">
        <f>SUMIF(G23:G27,"Yes",C23:C27)</f>
        <v>95000</v>
      </c>
      <c r="D28" s="137">
        <f>SUMIF(G23:G27,"Yes",D23:D27)</f>
        <v>0</v>
      </c>
      <c r="E28" s="138">
        <f>SUMIF(G23:G27,"Yes",E23:E27)</f>
        <v>175000</v>
      </c>
      <c r="F28" s="139">
        <f>IF(ISERROR(E28/(C28+(D28*'Measure Selection'!$M$25))),"N/A",E28/(C28+(D28*'Measure Selection'!$M$25)))</f>
        <v>1.8421052631578947</v>
      </c>
    </row>
    <row r="29" spans="2:16" ht="32.1" customHeight="1"/>
    <row r="30" spans="2:16" ht="36" customHeight="1">
      <c r="B30" s="378" t="s">
        <v>173</v>
      </c>
      <c r="C30" s="379"/>
      <c r="D30" s="379"/>
      <c r="E30" s="379"/>
      <c r="F30" s="379"/>
      <c r="G30" s="380"/>
      <c r="H30" s="27"/>
    </row>
    <row r="31" spans="2:16" ht="38.1" customHeight="1">
      <c r="B31" s="381"/>
      <c r="C31" s="382"/>
      <c r="D31" s="382"/>
      <c r="E31" s="382"/>
      <c r="F31" s="382"/>
      <c r="G31" s="383"/>
      <c r="H31" s="36"/>
    </row>
    <row r="32" spans="2:16" ht="39.950000000000003" customHeight="1">
      <c r="B32" s="381"/>
      <c r="C32" s="382"/>
      <c r="D32" s="382"/>
      <c r="E32" s="382"/>
      <c r="F32" s="382"/>
      <c r="G32" s="383"/>
      <c r="H32" s="36"/>
    </row>
    <row r="33" spans="2:8" ht="35.1" customHeight="1">
      <c r="B33" s="381"/>
      <c r="C33" s="382"/>
      <c r="D33" s="382"/>
      <c r="E33" s="382"/>
      <c r="F33" s="382"/>
      <c r="G33" s="383"/>
    </row>
    <row r="34" spans="2:8" ht="41.1" customHeight="1">
      <c r="B34" s="384"/>
      <c r="C34" s="385"/>
      <c r="D34" s="385"/>
      <c r="E34" s="385"/>
      <c r="F34" s="385"/>
      <c r="G34" s="386"/>
    </row>
    <row r="35" spans="2:8" ht="32.1" customHeight="1"/>
    <row r="36" spans="2:8" ht="32.1" customHeight="1"/>
    <row r="37" spans="2:8" ht="32.1" customHeight="1"/>
    <row r="38" spans="2:8" ht="32.1" customHeight="1"/>
    <row r="39" spans="2:8" ht="32.1" customHeight="1"/>
    <row r="40" spans="2:8" ht="32.1" customHeight="1"/>
    <row r="41" spans="2:8" ht="33" customHeight="1">
      <c r="B41" s="140"/>
      <c r="C41" s="140"/>
      <c r="D41" s="140"/>
      <c r="E41" s="140"/>
      <c r="F41" s="140"/>
      <c r="G41" s="140"/>
    </row>
    <row r="43" spans="2:8" ht="93" customHeight="1"/>
    <row r="48" spans="2:8" ht="20.100000000000001">
      <c r="H48" s="140"/>
    </row>
  </sheetData>
  <sheetProtection algorithmName="SHA-512" hashValue="NyQulUh/ZFwZ0pNcvvcsLvZzLMIZkKs7jnzi3XSlcPJ9Us1GY2Qa7PWsz9XxgvSRTrAYV0s8FxDIimtd9bE1lA==" saltValue="jY4XeG+QcELfWFzfaWS/yQ==" spinCount="100000" sheet="1" objects="1" scenarios="1"/>
  <mergeCells count="13">
    <mergeCell ref="B1:G1"/>
    <mergeCell ref="B6:G6"/>
    <mergeCell ref="I11:J11"/>
    <mergeCell ref="J22:L22"/>
    <mergeCell ref="B2:G5"/>
    <mergeCell ref="J16:K16"/>
    <mergeCell ref="L16:M16"/>
    <mergeCell ref="I16:I17"/>
    <mergeCell ref="B30:G34"/>
    <mergeCell ref="B21:G21"/>
    <mergeCell ref="J23:L23"/>
    <mergeCell ref="J24:L24"/>
    <mergeCell ref="J25:L25"/>
  </mergeCells>
  <dataValidations count="1">
    <dataValidation type="list" allowBlank="1" showInputMessage="1" showErrorMessage="1" sqref="G23:G27 G8:G19" xr:uid="{36411DD3-085A-DE4B-90E5-415EF7420CF3}">
      <formula1>$P$2:$P$3</formula1>
    </dataValidation>
  </dataValidations>
  <pageMargins left="0.7" right="0.7" top="0.75" bottom="0.75" header="0.3" footer="0.3"/>
  <pageSetup scale="51" orientation="landscape" horizontalDpi="0" verticalDpi="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A170E-0E09-B446-A36D-0EC92551B0E5}">
  <sheetPr codeName="Sheet7">
    <pageSetUpPr fitToPage="1"/>
  </sheetPr>
  <dimension ref="B1:BT39"/>
  <sheetViews>
    <sheetView showGridLines="0" zoomScale="69" zoomScaleNormal="80" workbookViewId="0">
      <selection activeCell="C25" sqref="C25"/>
    </sheetView>
  </sheetViews>
  <sheetFormatPr defaultColWidth="10.875" defaultRowHeight="15.95"/>
  <cols>
    <col min="1" max="1" width="2.375" style="14" customWidth="1"/>
    <col min="2" max="2" width="47.875" style="14" customWidth="1"/>
    <col min="3" max="3" width="21.625" style="14" customWidth="1"/>
    <col min="4" max="4" width="2.875" style="14" customWidth="1"/>
    <col min="5" max="5" width="40.375" style="14" customWidth="1"/>
    <col min="6" max="6" width="15.625" style="14" customWidth="1"/>
    <col min="7" max="7" width="14.875" style="14" customWidth="1"/>
    <col min="8" max="11" width="12.875" style="14" customWidth="1"/>
    <col min="12" max="12" width="15.375" style="14" customWidth="1"/>
    <col min="13" max="15" width="0" style="14" hidden="1" customWidth="1"/>
    <col min="16" max="16" width="15.375" style="14" customWidth="1"/>
    <col min="17" max="25" width="14.875" style="14" hidden="1" customWidth="1"/>
    <col min="26" max="26" width="16.875" style="14" customWidth="1"/>
    <col min="27" max="35" width="14.875" style="14" hidden="1" customWidth="1"/>
    <col min="36" max="36" width="15.875" style="14" customWidth="1"/>
    <col min="37" max="39" width="14.875" style="14" hidden="1" customWidth="1"/>
    <col min="40" max="44" width="13.125" style="14" hidden="1" customWidth="1"/>
    <col min="45" max="45" width="14.875" style="14" hidden="1" customWidth="1"/>
    <col min="46" max="46" width="14.875" style="14" customWidth="1"/>
    <col min="47" max="47" width="24.125" style="14" customWidth="1"/>
    <col min="48" max="48" width="10.875" style="14" customWidth="1"/>
    <col min="49" max="16384" width="10.875" style="14"/>
  </cols>
  <sheetData>
    <row r="1" spans="2:72" ht="45" customHeight="1" thickBot="1">
      <c r="B1" s="437" t="s">
        <v>174</v>
      </c>
      <c r="C1" s="438"/>
      <c r="D1" s="141"/>
      <c r="E1" s="439" t="s">
        <v>175</v>
      </c>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1"/>
    </row>
    <row r="2" spans="2:72" ht="27" thickBot="1">
      <c r="D2" s="141"/>
      <c r="E2" s="142"/>
      <c r="F2" s="142"/>
      <c r="G2" s="142"/>
      <c r="H2" s="442"/>
      <c r="I2" s="442"/>
      <c r="J2" s="442"/>
      <c r="K2" s="4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265" t="s">
        <v>0</v>
      </c>
    </row>
    <row r="3" spans="2:72" ht="39.950000000000003" customHeight="1" thickBot="1">
      <c r="B3" s="417" t="s">
        <v>176</v>
      </c>
      <c r="C3" s="418"/>
      <c r="D3" s="141"/>
      <c r="E3" s="449" t="s">
        <v>177</v>
      </c>
      <c r="F3" s="450"/>
      <c r="G3" s="451"/>
      <c r="I3" s="419" t="s">
        <v>45</v>
      </c>
      <c r="J3" s="445"/>
      <c r="K3" s="445"/>
      <c r="L3" s="445"/>
      <c r="M3" s="445"/>
      <c r="N3" s="445"/>
      <c r="O3" s="445"/>
      <c r="P3" s="445"/>
      <c r="Q3" s="445"/>
      <c r="R3" s="445"/>
      <c r="S3" s="445"/>
      <c r="T3" s="445"/>
      <c r="U3" s="445"/>
      <c r="V3" s="445"/>
      <c r="W3" s="445"/>
      <c r="X3" s="445"/>
      <c r="Y3" s="445"/>
      <c r="Z3" s="420"/>
      <c r="AU3" s="260" t="s">
        <v>2</v>
      </c>
    </row>
    <row r="4" spans="2:72" ht="39.950000000000003" customHeight="1" thickBot="1">
      <c r="B4" s="143" t="s">
        <v>178</v>
      </c>
      <c r="C4" s="144" t="str">
        <f>IF(ISBLANK('Getting Started'!C12),"Proposed Project",'Getting Started'!C12)</f>
        <v>Enter name of project</v>
      </c>
      <c r="D4" s="145"/>
      <c r="E4" s="60" t="s">
        <v>179</v>
      </c>
      <c r="F4" s="146">
        <f>IFERROR('Measure Selection'!C20,"")</f>
        <v>20000</v>
      </c>
      <c r="G4" s="147">
        <f>IFERROR(F4*C7,"")</f>
        <v>2560</v>
      </c>
      <c r="I4" s="447" t="s">
        <v>180</v>
      </c>
      <c r="J4" s="448"/>
      <c r="K4" s="448"/>
      <c r="L4" s="448"/>
      <c r="M4" s="222"/>
      <c r="N4" s="223"/>
      <c r="P4" s="275" t="str">
        <f>IF(ISERROR('Measure Selection'!M8),"EUI Not Available",'Measure Selection'!M8)</f>
        <v>Need total bldg sq ft</v>
      </c>
      <c r="Q4" s="148"/>
      <c r="R4" s="148"/>
      <c r="S4" s="148"/>
      <c r="T4" s="148"/>
      <c r="U4" s="148"/>
      <c r="V4" s="148"/>
      <c r="W4" s="148"/>
      <c r="X4" s="148"/>
      <c r="Y4" s="148"/>
      <c r="Z4" s="278" t="s">
        <v>181</v>
      </c>
      <c r="AU4" s="261" t="s">
        <v>3</v>
      </c>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c r="BT4" s="276"/>
    </row>
    <row r="5" spans="2:72" ht="39.950000000000003" customHeight="1" thickBot="1">
      <c r="B5" s="143" t="s">
        <v>62</v>
      </c>
      <c r="C5" s="149" t="str">
        <f>'Getting Started'!C13</f>
        <v>Enter total building square footage</v>
      </c>
      <c r="D5" s="150"/>
      <c r="E5" s="60" t="s">
        <v>182</v>
      </c>
      <c r="F5" s="151">
        <f>IFERROR('Measure Selection'!D20,"")</f>
        <v>0</v>
      </c>
      <c r="G5" s="152">
        <f>IFERROR(F5*C9,"")</f>
        <v>0</v>
      </c>
      <c r="I5" s="443" t="str">
        <f>IF(ISBLANK(C4),"Proposed Project",C4)</f>
        <v>Enter name of project</v>
      </c>
      <c r="J5" s="446"/>
      <c r="K5" s="444"/>
      <c r="L5" s="155" t="s">
        <v>51</v>
      </c>
      <c r="M5" s="154"/>
      <c r="N5" s="154"/>
      <c r="O5" s="154"/>
      <c r="P5" s="87" t="str">
        <f>IF(ISERROR((C12/C5/'Measure Selection'!M23)+(C14*'Measure Selection'!M24/C5)),"Need total bldg sq ft",(C12/C5/'Measure Selection'!M23)+(C14*'Measure Selection'!M24/C5))</f>
        <v>Need total bldg sq ft</v>
      </c>
      <c r="Q5" s="156"/>
      <c r="R5" s="156"/>
      <c r="S5" s="156"/>
      <c r="T5" s="156"/>
      <c r="U5" s="156"/>
      <c r="V5" s="156"/>
      <c r="W5" s="156"/>
      <c r="X5" s="156"/>
      <c r="Y5" s="156"/>
      <c r="Z5" s="278" t="s">
        <v>181</v>
      </c>
      <c r="AU5" s="262" t="s">
        <v>5</v>
      </c>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row>
    <row r="6" spans="2:72" ht="39.950000000000003" customHeight="1" thickBot="1">
      <c r="B6" s="417" t="s">
        <v>90</v>
      </c>
      <c r="C6" s="418"/>
      <c r="D6" s="153"/>
      <c r="E6" s="60" t="s">
        <v>183</v>
      </c>
      <c r="F6" s="146">
        <f>IFERROR('Measure Selection'!C28,"")</f>
        <v>95000</v>
      </c>
      <c r="G6" s="147">
        <f>IFERROR((F6*C8)*C7,"")</f>
        <v>12160</v>
      </c>
      <c r="AU6" s="263" t="s">
        <v>7</v>
      </c>
    </row>
    <row r="7" spans="2:72" ht="36.950000000000003" customHeight="1" thickBot="1">
      <c r="B7" s="143" t="s">
        <v>91</v>
      </c>
      <c r="C7" s="157">
        <f>IFERROR('Energy Worksheet'!C15,"")</f>
        <v>0.128</v>
      </c>
      <c r="D7" s="158"/>
      <c r="E7" s="443" t="s">
        <v>184</v>
      </c>
      <c r="F7" s="444"/>
      <c r="G7" s="159">
        <f>SUM(G4:G6)</f>
        <v>14720</v>
      </c>
      <c r="I7" s="160"/>
      <c r="L7" s="161"/>
      <c r="M7" s="162"/>
      <c r="N7" s="162"/>
      <c r="O7" s="162"/>
    </row>
    <row r="8" spans="2:72" ht="32.1" customHeight="1" thickBot="1">
      <c r="B8" s="143" t="s">
        <v>92</v>
      </c>
      <c r="C8" s="163">
        <f>IFERROR('Energy Worksheet'!$C$16,"")</f>
        <v>1</v>
      </c>
      <c r="D8" s="164"/>
      <c r="E8" s="54"/>
    </row>
    <row r="9" spans="2:72" s="36" customFormat="1" ht="32.1" customHeight="1" thickBot="1">
      <c r="B9" s="165" t="s">
        <v>93</v>
      </c>
      <c r="C9" s="166">
        <f>IFERROR('Energy Worksheet'!C17,"")</f>
        <v>1.1020000000000001</v>
      </c>
      <c r="D9" s="167"/>
      <c r="E9" s="452" t="s">
        <v>185</v>
      </c>
      <c r="F9" s="434" t="s">
        <v>186</v>
      </c>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6"/>
    </row>
    <row r="10" spans="2:72" ht="32.1" customHeight="1">
      <c r="B10" s="432" t="s">
        <v>187</v>
      </c>
      <c r="C10" s="433"/>
      <c r="D10" s="164"/>
      <c r="E10" s="453"/>
      <c r="F10" s="168">
        <v>0</v>
      </c>
      <c r="G10" s="169">
        <v>1</v>
      </c>
      <c r="H10" s="169">
        <f t="shared" ref="H10:AT10" si="0">G10+1</f>
        <v>2</v>
      </c>
      <c r="I10" s="169">
        <f t="shared" si="0"/>
        <v>3</v>
      </c>
      <c r="J10" s="169">
        <f t="shared" si="0"/>
        <v>4</v>
      </c>
      <c r="K10" s="169">
        <f t="shared" si="0"/>
        <v>5</v>
      </c>
      <c r="L10" s="169">
        <f t="shared" si="0"/>
        <v>6</v>
      </c>
      <c r="M10" s="169">
        <f t="shared" si="0"/>
        <v>7</v>
      </c>
      <c r="N10" s="169">
        <f t="shared" si="0"/>
        <v>8</v>
      </c>
      <c r="O10" s="169">
        <f t="shared" si="0"/>
        <v>9</v>
      </c>
      <c r="P10" s="169">
        <f t="shared" si="0"/>
        <v>10</v>
      </c>
      <c r="Q10" s="169">
        <f t="shared" si="0"/>
        <v>11</v>
      </c>
      <c r="R10" s="169">
        <f t="shared" si="0"/>
        <v>12</v>
      </c>
      <c r="S10" s="169">
        <f t="shared" si="0"/>
        <v>13</v>
      </c>
      <c r="T10" s="169">
        <f t="shared" si="0"/>
        <v>14</v>
      </c>
      <c r="U10" s="169">
        <f t="shared" si="0"/>
        <v>15</v>
      </c>
      <c r="V10" s="169">
        <f t="shared" si="0"/>
        <v>16</v>
      </c>
      <c r="W10" s="169">
        <f t="shared" si="0"/>
        <v>17</v>
      </c>
      <c r="X10" s="169">
        <f t="shared" si="0"/>
        <v>18</v>
      </c>
      <c r="Y10" s="169">
        <f t="shared" si="0"/>
        <v>19</v>
      </c>
      <c r="Z10" s="169">
        <f t="shared" si="0"/>
        <v>20</v>
      </c>
      <c r="AA10" s="169">
        <f t="shared" si="0"/>
        <v>21</v>
      </c>
      <c r="AB10" s="169">
        <f t="shared" si="0"/>
        <v>22</v>
      </c>
      <c r="AC10" s="169">
        <f t="shared" si="0"/>
        <v>23</v>
      </c>
      <c r="AD10" s="169">
        <f t="shared" si="0"/>
        <v>24</v>
      </c>
      <c r="AE10" s="169">
        <f t="shared" si="0"/>
        <v>25</v>
      </c>
      <c r="AF10" s="169">
        <f t="shared" si="0"/>
        <v>26</v>
      </c>
      <c r="AG10" s="169">
        <f t="shared" si="0"/>
        <v>27</v>
      </c>
      <c r="AH10" s="169">
        <f t="shared" si="0"/>
        <v>28</v>
      </c>
      <c r="AI10" s="169">
        <f t="shared" si="0"/>
        <v>29</v>
      </c>
      <c r="AJ10" s="169">
        <f t="shared" si="0"/>
        <v>30</v>
      </c>
      <c r="AK10" s="169">
        <f t="shared" si="0"/>
        <v>31</v>
      </c>
      <c r="AL10" s="169">
        <f t="shared" si="0"/>
        <v>32</v>
      </c>
      <c r="AM10" s="169">
        <f t="shared" si="0"/>
        <v>33</v>
      </c>
      <c r="AN10" s="169">
        <f t="shared" si="0"/>
        <v>34</v>
      </c>
      <c r="AO10" s="169">
        <f t="shared" si="0"/>
        <v>35</v>
      </c>
      <c r="AP10" s="169">
        <f t="shared" si="0"/>
        <v>36</v>
      </c>
      <c r="AQ10" s="169">
        <f t="shared" si="0"/>
        <v>37</v>
      </c>
      <c r="AR10" s="169">
        <f t="shared" si="0"/>
        <v>38</v>
      </c>
      <c r="AS10" s="169">
        <f t="shared" si="0"/>
        <v>39</v>
      </c>
      <c r="AT10" s="170">
        <f t="shared" si="0"/>
        <v>40</v>
      </c>
    </row>
    <row r="11" spans="2:72" ht="32.1" customHeight="1">
      <c r="B11" s="143" t="s">
        <v>188</v>
      </c>
      <c r="C11" s="28">
        <f>IFERROR('Energy Worksheet'!C10,"")</f>
        <v>500000</v>
      </c>
      <c r="D11" s="164"/>
      <c r="E11" s="171" t="s">
        <v>189</v>
      </c>
      <c r="F11" s="241">
        <f>IFERROR(((C19-C22)+(C20-C23))*-1,"")</f>
        <v>-107500</v>
      </c>
      <c r="G11" s="173">
        <f>G7</f>
        <v>14720</v>
      </c>
      <c r="H11" s="173">
        <f t="shared" ref="H11:AT11" si="1">G11*(1+$C$25)</f>
        <v>15198.4</v>
      </c>
      <c r="I11" s="173">
        <f t="shared" si="1"/>
        <v>15692.348</v>
      </c>
      <c r="J11" s="173">
        <f t="shared" si="1"/>
        <v>16202.34931</v>
      </c>
      <c r="K11" s="173">
        <f t="shared" si="1"/>
        <v>16728.925662574999</v>
      </c>
      <c r="L11" s="173">
        <f t="shared" si="1"/>
        <v>17272.615746608684</v>
      </c>
      <c r="M11" s="173">
        <f t="shared" si="1"/>
        <v>17833.975758373464</v>
      </c>
      <c r="N11" s="173">
        <f t="shared" si="1"/>
        <v>18413.579970520601</v>
      </c>
      <c r="O11" s="173">
        <f t="shared" si="1"/>
        <v>19012.021319562518</v>
      </c>
      <c r="P11" s="173">
        <f t="shared" si="1"/>
        <v>19629.912012448298</v>
      </c>
      <c r="Q11" s="173">
        <f t="shared" si="1"/>
        <v>20267.884152852868</v>
      </c>
      <c r="R11" s="173">
        <f t="shared" si="1"/>
        <v>20926.590387820586</v>
      </c>
      <c r="S11" s="173">
        <f t="shared" si="1"/>
        <v>21606.704575424756</v>
      </c>
      <c r="T11" s="173">
        <f t="shared" si="1"/>
        <v>22308.922474126059</v>
      </c>
      <c r="U11" s="173">
        <f t="shared" si="1"/>
        <v>23033.962454535154</v>
      </c>
      <c r="V11" s="173">
        <f t="shared" si="1"/>
        <v>23782.566234307546</v>
      </c>
      <c r="W11" s="173">
        <f t="shared" si="1"/>
        <v>24555.499636922541</v>
      </c>
      <c r="X11" s="173">
        <f t="shared" si="1"/>
        <v>25353.553375122523</v>
      </c>
      <c r="Y11" s="173">
        <f t="shared" si="1"/>
        <v>26177.543859814003</v>
      </c>
      <c r="Z11" s="173">
        <f t="shared" si="1"/>
        <v>27028.314035257958</v>
      </c>
      <c r="AA11" s="173">
        <f t="shared" si="1"/>
        <v>27906.734241403839</v>
      </c>
      <c r="AB11" s="173">
        <f t="shared" si="1"/>
        <v>28813.703104249464</v>
      </c>
      <c r="AC11" s="173">
        <f t="shared" si="1"/>
        <v>29750.148455137569</v>
      </c>
      <c r="AD11" s="173">
        <f t="shared" si="1"/>
        <v>30717.028279929538</v>
      </c>
      <c r="AE11" s="173">
        <f t="shared" si="1"/>
        <v>31715.331699027247</v>
      </c>
      <c r="AF11" s="173">
        <f t="shared" si="1"/>
        <v>32746.079979245631</v>
      </c>
      <c r="AG11" s="173">
        <f t="shared" si="1"/>
        <v>33810.327578571116</v>
      </c>
      <c r="AH11" s="173">
        <f t="shared" si="1"/>
        <v>34909.163224874676</v>
      </c>
      <c r="AI11" s="173">
        <f t="shared" si="1"/>
        <v>36043.711029683102</v>
      </c>
      <c r="AJ11" s="173">
        <f t="shared" si="1"/>
        <v>37215.131638147803</v>
      </c>
      <c r="AK11" s="173">
        <f t="shared" si="1"/>
        <v>38424.623416387607</v>
      </c>
      <c r="AL11" s="173">
        <f t="shared" si="1"/>
        <v>39673.4236774202</v>
      </c>
      <c r="AM11" s="173">
        <f t="shared" si="1"/>
        <v>40962.809946936359</v>
      </c>
      <c r="AN11" s="173">
        <f t="shared" si="1"/>
        <v>42294.101270211788</v>
      </c>
      <c r="AO11" s="173">
        <f t="shared" si="1"/>
        <v>43668.659561493667</v>
      </c>
      <c r="AP11" s="173">
        <f t="shared" si="1"/>
        <v>45087.890997242212</v>
      </c>
      <c r="AQ11" s="173">
        <f t="shared" si="1"/>
        <v>46553.247454652585</v>
      </c>
      <c r="AR11" s="173">
        <f t="shared" si="1"/>
        <v>48066.227996928792</v>
      </c>
      <c r="AS11" s="173">
        <f t="shared" si="1"/>
        <v>49628.380406828976</v>
      </c>
      <c r="AT11" s="174">
        <f t="shared" si="1"/>
        <v>51241.302770050919</v>
      </c>
    </row>
    <row r="12" spans="2:72" ht="32.1" customHeight="1">
      <c r="B12" s="143" t="s">
        <v>190</v>
      </c>
      <c r="C12" s="28">
        <f>IFERROR('Measure Selection'!K9,"")</f>
        <v>385000</v>
      </c>
      <c r="D12" s="175"/>
      <c r="E12" s="176" t="s">
        <v>191</v>
      </c>
      <c r="F12" s="172">
        <f>F11</f>
        <v>-107500</v>
      </c>
      <c r="G12" s="173">
        <f t="shared" ref="G12:AT12" si="2">F12+G11</f>
        <v>-92780</v>
      </c>
      <c r="H12" s="173">
        <f t="shared" si="2"/>
        <v>-77581.600000000006</v>
      </c>
      <c r="I12" s="173">
        <f t="shared" si="2"/>
        <v>-61889.252000000008</v>
      </c>
      <c r="J12" s="173">
        <f t="shared" si="2"/>
        <v>-45686.90269000001</v>
      </c>
      <c r="K12" s="173">
        <f t="shared" si="2"/>
        <v>-28957.977027425011</v>
      </c>
      <c r="L12" s="173">
        <f t="shared" si="2"/>
        <v>-11685.361280816327</v>
      </c>
      <c r="M12" s="173">
        <f t="shared" si="2"/>
        <v>6148.6144775571374</v>
      </c>
      <c r="N12" s="173">
        <f t="shared" si="2"/>
        <v>24562.194448077738</v>
      </c>
      <c r="O12" s="173">
        <f t="shared" si="2"/>
        <v>43574.215767640257</v>
      </c>
      <c r="P12" s="173">
        <f t="shared" si="2"/>
        <v>63204.127780088558</v>
      </c>
      <c r="Q12" s="173">
        <f t="shared" si="2"/>
        <v>83472.01193294143</v>
      </c>
      <c r="R12" s="173">
        <f t="shared" si="2"/>
        <v>104398.60232076202</v>
      </c>
      <c r="S12" s="173">
        <f t="shared" si="2"/>
        <v>126005.30689618677</v>
      </c>
      <c r="T12" s="173">
        <f t="shared" si="2"/>
        <v>148314.22937031282</v>
      </c>
      <c r="U12" s="173">
        <f t="shared" si="2"/>
        <v>171348.19182484798</v>
      </c>
      <c r="V12" s="173">
        <f t="shared" si="2"/>
        <v>195130.75805915552</v>
      </c>
      <c r="W12" s="173">
        <f t="shared" si="2"/>
        <v>219686.25769607804</v>
      </c>
      <c r="X12" s="173">
        <f t="shared" si="2"/>
        <v>245039.81107120056</v>
      </c>
      <c r="Y12" s="173">
        <f t="shared" si="2"/>
        <v>271217.35493101459</v>
      </c>
      <c r="Z12" s="173">
        <f t="shared" si="2"/>
        <v>298245.66896627255</v>
      </c>
      <c r="AA12" s="173">
        <f t="shared" si="2"/>
        <v>326152.40320767637</v>
      </c>
      <c r="AB12" s="173">
        <f t="shared" si="2"/>
        <v>354966.1063119258</v>
      </c>
      <c r="AC12" s="173">
        <f t="shared" si="2"/>
        <v>384716.25476706336</v>
      </c>
      <c r="AD12" s="173">
        <f t="shared" si="2"/>
        <v>415433.2830469929</v>
      </c>
      <c r="AE12" s="173">
        <f t="shared" si="2"/>
        <v>447148.61474602018</v>
      </c>
      <c r="AF12" s="173">
        <f t="shared" si="2"/>
        <v>479894.69472526578</v>
      </c>
      <c r="AG12" s="173">
        <f t="shared" si="2"/>
        <v>513705.02230383689</v>
      </c>
      <c r="AH12" s="173">
        <f t="shared" si="2"/>
        <v>548614.18552871153</v>
      </c>
      <c r="AI12" s="173">
        <f t="shared" si="2"/>
        <v>584657.89655839466</v>
      </c>
      <c r="AJ12" s="173">
        <f t="shared" si="2"/>
        <v>621873.02819654241</v>
      </c>
      <c r="AK12" s="173">
        <f t="shared" si="2"/>
        <v>660297.65161293</v>
      </c>
      <c r="AL12" s="173">
        <f t="shared" si="2"/>
        <v>699971.07529035024</v>
      </c>
      <c r="AM12" s="173">
        <f t="shared" si="2"/>
        <v>740933.88523728657</v>
      </c>
      <c r="AN12" s="173">
        <f t="shared" si="2"/>
        <v>783227.98650749831</v>
      </c>
      <c r="AO12" s="173">
        <f t="shared" si="2"/>
        <v>826896.64606899198</v>
      </c>
      <c r="AP12" s="173">
        <f t="shared" si="2"/>
        <v>871984.53706623416</v>
      </c>
      <c r="AQ12" s="173">
        <f t="shared" si="2"/>
        <v>918537.78452088672</v>
      </c>
      <c r="AR12" s="173">
        <f t="shared" si="2"/>
        <v>966604.01251781546</v>
      </c>
      <c r="AS12" s="173">
        <f t="shared" si="2"/>
        <v>1016232.3929246444</v>
      </c>
      <c r="AT12" s="174">
        <f t="shared" si="2"/>
        <v>1067473.6956946952</v>
      </c>
    </row>
    <row r="13" spans="2:72" ht="32.1" customHeight="1" thickBot="1">
      <c r="B13" s="143" t="s">
        <v>192</v>
      </c>
      <c r="C13" s="177">
        <f>IFERROR('Energy Worksheet'!C11,"")</f>
        <v>3000</v>
      </c>
      <c r="D13" s="175"/>
      <c r="E13" s="178" t="s">
        <v>193</v>
      </c>
      <c r="F13" s="179"/>
      <c r="G13" s="180" t="str">
        <f t="shared" ref="G13:AT13" si="3">IF(AND(F12&lt;0,G12&gt;=0),"B/E","")</f>
        <v/>
      </c>
      <c r="H13" s="180" t="str">
        <f t="shared" si="3"/>
        <v/>
      </c>
      <c r="I13" s="180" t="str">
        <f t="shared" si="3"/>
        <v/>
      </c>
      <c r="J13" s="180" t="str">
        <f t="shared" si="3"/>
        <v/>
      </c>
      <c r="K13" s="180" t="str">
        <f t="shared" si="3"/>
        <v/>
      </c>
      <c r="L13" s="180" t="str">
        <f t="shared" si="3"/>
        <v/>
      </c>
      <c r="M13" s="181" t="str">
        <f t="shared" si="3"/>
        <v>B/E</v>
      </c>
      <c r="N13" s="180" t="str">
        <f t="shared" si="3"/>
        <v/>
      </c>
      <c r="O13" s="180" t="str">
        <f t="shared" si="3"/>
        <v/>
      </c>
      <c r="P13" s="180" t="str">
        <f t="shared" si="3"/>
        <v/>
      </c>
      <c r="Q13" s="180" t="str">
        <f t="shared" si="3"/>
        <v/>
      </c>
      <c r="R13" s="180" t="str">
        <f t="shared" si="3"/>
        <v/>
      </c>
      <c r="S13" s="180" t="str">
        <f t="shared" si="3"/>
        <v/>
      </c>
      <c r="T13" s="180" t="str">
        <f t="shared" si="3"/>
        <v/>
      </c>
      <c r="U13" s="180" t="str">
        <f t="shared" si="3"/>
        <v/>
      </c>
      <c r="V13" s="180" t="str">
        <f t="shared" si="3"/>
        <v/>
      </c>
      <c r="W13" s="180" t="str">
        <f t="shared" si="3"/>
        <v/>
      </c>
      <c r="X13" s="180" t="str">
        <f t="shared" si="3"/>
        <v/>
      </c>
      <c r="Y13" s="180" t="str">
        <f t="shared" si="3"/>
        <v/>
      </c>
      <c r="Z13" s="180" t="str">
        <f t="shared" si="3"/>
        <v/>
      </c>
      <c r="AA13" s="180" t="str">
        <f t="shared" si="3"/>
        <v/>
      </c>
      <c r="AB13" s="180" t="str">
        <f t="shared" si="3"/>
        <v/>
      </c>
      <c r="AC13" s="180" t="str">
        <f t="shared" si="3"/>
        <v/>
      </c>
      <c r="AD13" s="180" t="str">
        <f t="shared" si="3"/>
        <v/>
      </c>
      <c r="AE13" s="180" t="str">
        <f t="shared" si="3"/>
        <v/>
      </c>
      <c r="AF13" s="180" t="str">
        <f t="shared" si="3"/>
        <v/>
      </c>
      <c r="AG13" s="180" t="str">
        <f t="shared" si="3"/>
        <v/>
      </c>
      <c r="AH13" s="180" t="str">
        <f t="shared" si="3"/>
        <v/>
      </c>
      <c r="AI13" s="180" t="str">
        <f t="shared" si="3"/>
        <v/>
      </c>
      <c r="AJ13" s="180" t="str">
        <f t="shared" si="3"/>
        <v/>
      </c>
      <c r="AK13" s="180" t="str">
        <f t="shared" si="3"/>
        <v/>
      </c>
      <c r="AL13" s="180" t="str">
        <f t="shared" si="3"/>
        <v/>
      </c>
      <c r="AM13" s="180" t="str">
        <f t="shared" si="3"/>
        <v/>
      </c>
      <c r="AN13" s="180" t="str">
        <f t="shared" si="3"/>
        <v/>
      </c>
      <c r="AO13" s="180" t="str">
        <f t="shared" si="3"/>
        <v/>
      </c>
      <c r="AP13" s="180" t="str">
        <f t="shared" si="3"/>
        <v/>
      </c>
      <c r="AQ13" s="180" t="str">
        <f t="shared" si="3"/>
        <v/>
      </c>
      <c r="AR13" s="180" t="str">
        <f t="shared" si="3"/>
        <v/>
      </c>
      <c r="AS13" s="180" t="str">
        <f t="shared" si="3"/>
        <v/>
      </c>
      <c r="AT13" s="182" t="str">
        <f t="shared" si="3"/>
        <v/>
      </c>
    </row>
    <row r="14" spans="2:72" ht="32.1" customHeight="1">
      <c r="B14" s="143" t="s">
        <v>194</v>
      </c>
      <c r="C14" s="177">
        <f>IFERROR('Measure Selection'!L9,"")</f>
        <v>3000</v>
      </c>
      <c r="E14" s="430" t="s">
        <v>195</v>
      </c>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c r="AT14" s="430"/>
      <c r="AW14" s="183"/>
      <c r="AX14" s="184"/>
    </row>
    <row r="15" spans="2:72" ht="30.95" customHeight="1">
      <c r="B15" s="143" t="s">
        <v>196</v>
      </c>
      <c r="C15" s="28">
        <f>IFERROR('Measure Selection'!C28,"")</f>
        <v>95000</v>
      </c>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row>
    <row r="16" spans="2:72" ht="17.100000000000001" thickBot="1">
      <c r="F16" s="27"/>
      <c r="G16" s="141" t="str">
        <f t="shared" ref="G16:AT16" si="4">IF(G13="B/E",1,"")</f>
        <v/>
      </c>
      <c r="H16" s="141" t="str">
        <f t="shared" si="4"/>
        <v/>
      </c>
      <c r="I16" s="141" t="str">
        <f t="shared" si="4"/>
        <v/>
      </c>
      <c r="J16" s="141" t="str">
        <f t="shared" si="4"/>
        <v/>
      </c>
      <c r="K16" s="141" t="str">
        <f t="shared" si="4"/>
        <v/>
      </c>
      <c r="L16" s="141" t="str">
        <f t="shared" si="4"/>
        <v/>
      </c>
      <c r="M16" s="141">
        <f t="shared" si="4"/>
        <v>1</v>
      </c>
      <c r="N16" s="141" t="str">
        <f t="shared" si="4"/>
        <v/>
      </c>
      <c r="O16" s="141" t="str">
        <f t="shared" si="4"/>
        <v/>
      </c>
      <c r="P16" s="141" t="str">
        <f t="shared" si="4"/>
        <v/>
      </c>
      <c r="Q16" s="141" t="str">
        <f t="shared" si="4"/>
        <v/>
      </c>
      <c r="R16" s="141" t="str">
        <f t="shared" si="4"/>
        <v/>
      </c>
      <c r="S16" s="141" t="str">
        <f t="shared" si="4"/>
        <v/>
      </c>
      <c r="T16" s="141" t="str">
        <f t="shared" si="4"/>
        <v/>
      </c>
      <c r="U16" s="141" t="str">
        <f t="shared" si="4"/>
        <v/>
      </c>
      <c r="V16" s="141" t="str">
        <f t="shared" si="4"/>
        <v/>
      </c>
      <c r="W16" s="141" t="str">
        <f t="shared" si="4"/>
        <v/>
      </c>
      <c r="X16" s="141" t="str">
        <f t="shared" si="4"/>
        <v/>
      </c>
      <c r="Y16" s="141" t="str">
        <f t="shared" si="4"/>
        <v/>
      </c>
      <c r="Z16" s="141" t="str">
        <f t="shared" si="4"/>
        <v/>
      </c>
      <c r="AA16" s="141" t="str">
        <f t="shared" si="4"/>
        <v/>
      </c>
      <c r="AB16" s="141" t="str">
        <f t="shared" si="4"/>
        <v/>
      </c>
      <c r="AC16" s="141" t="str">
        <f t="shared" si="4"/>
        <v/>
      </c>
      <c r="AD16" s="141" t="str">
        <f t="shared" si="4"/>
        <v/>
      </c>
      <c r="AE16" s="141" t="str">
        <f t="shared" si="4"/>
        <v/>
      </c>
      <c r="AF16" s="141" t="str">
        <f t="shared" si="4"/>
        <v/>
      </c>
      <c r="AG16" s="141" t="str">
        <f t="shared" si="4"/>
        <v/>
      </c>
      <c r="AH16" s="141" t="str">
        <f t="shared" si="4"/>
        <v/>
      </c>
      <c r="AI16" s="141" t="str">
        <f t="shared" si="4"/>
        <v/>
      </c>
      <c r="AJ16" s="141" t="str">
        <f t="shared" si="4"/>
        <v/>
      </c>
      <c r="AK16" s="141" t="str">
        <f t="shared" si="4"/>
        <v/>
      </c>
      <c r="AL16" s="141" t="str">
        <f t="shared" si="4"/>
        <v/>
      </c>
      <c r="AM16" s="141" t="str">
        <f t="shared" si="4"/>
        <v/>
      </c>
      <c r="AN16" s="141" t="str">
        <f t="shared" si="4"/>
        <v/>
      </c>
      <c r="AO16" s="141" t="str">
        <f t="shared" si="4"/>
        <v/>
      </c>
      <c r="AP16" s="141" t="str">
        <f t="shared" si="4"/>
        <v/>
      </c>
      <c r="AQ16" s="141" t="str">
        <f t="shared" si="4"/>
        <v/>
      </c>
      <c r="AR16" s="141" t="str">
        <f t="shared" si="4"/>
        <v/>
      </c>
      <c r="AS16" s="141" t="str">
        <f t="shared" si="4"/>
        <v/>
      </c>
      <c r="AT16" s="141" t="str">
        <f t="shared" si="4"/>
        <v/>
      </c>
    </row>
    <row r="17" spans="2:46" ht="32.1" customHeight="1" thickBot="1">
      <c r="B17" s="165" t="s">
        <v>197</v>
      </c>
      <c r="C17" s="185">
        <f>IFERROR('Measure Selection'!D28,"")</f>
        <v>0</v>
      </c>
      <c r="E17" s="419" t="s">
        <v>198</v>
      </c>
      <c r="F17" s="420"/>
      <c r="H17" s="421" t="s">
        <v>199</v>
      </c>
      <c r="I17" s="422"/>
      <c r="J17" s="422"/>
      <c r="K17" s="423"/>
      <c r="L17" s="428" t="s">
        <v>200</v>
      </c>
      <c r="M17" s="186"/>
      <c r="N17" s="186"/>
      <c r="O17" s="187"/>
      <c r="P17" s="414" t="s">
        <v>201</v>
      </c>
      <c r="Q17" s="415"/>
      <c r="R17" s="415"/>
      <c r="S17" s="415"/>
      <c r="T17" s="415"/>
      <c r="U17" s="415"/>
      <c r="V17" s="415"/>
      <c r="W17" s="415"/>
      <c r="X17" s="415"/>
      <c r="Y17" s="415"/>
      <c r="Z17" s="427"/>
      <c r="AA17" s="187"/>
      <c r="AB17" s="187"/>
      <c r="AC17" s="187"/>
      <c r="AD17" s="187"/>
      <c r="AE17" s="187"/>
      <c r="AF17" s="187"/>
      <c r="AG17" s="187"/>
      <c r="AH17" s="187"/>
      <c r="AI17" s="187"/>
      <c r="AJ17" s="414" t="s">
        <v>202</v>
      </c>
      <c r="AK17" s="415"/>
      <c r="AL17" s="415"/>
      <c r="AM17" s="415"/>
      <c r="AN17" s="415"/>
      <c r="AO17" s="415"/>
      <c r="AP17" s="415"/>
      <c r="AQ17" s="415"/>
      <c r="AR17" s="415"/>
      <c r="AS17" s="415"/>
      <c r="AT17" s="416"/>
    </row>
    <row r="18" spans="2:46" ht="32.1" customHeight="1">
      <c r="B18" s="417" t="s">
        <v>203</v>
      </c>
      <c r="C18" s="418"/>
      <c r="E18" s="188" t="s">
        <v>204</v>
      </c>
      <c r="F18" s="189">
        <f>NPV(C26,F11:Z11)</f>
        <v>150959.07450187777</v>
      </c>
      <c r="H18" s="424"/>
      <c r="I18" s="425"/>
      <c r="J18" s="425"/>
      <c r="K18" s="426"/>
      <c r="L18" s="429"/>
      <c r="M18" s="190"/>
      <c r="N18" s="190"/>
      <c r="O18" s="191"/>
      <c r="P18" s="169" t="s">
        <v>205</v>
      </c>
      <c r="Q18" s="190"/>
      <c r="R18" s="190"/>
      <c r="S18" s="190"/>
      <c r="T18" s="190"/>
      <c r="U18" s="190"/>
      <c r="V18" s="190"/>
      <c r="W18" s="190"/>
      <c r="X18" s="190"/>
      <c r="Y18" s="190"/>
      <c r="Z18" s="169" t="s">
        <v>206</v>
      </c>
      <c r="AA18" s="190"/>
      <c r="AB18" s="190"/>
      <c r="AC18" s="190"/>
      <c r="AD18" s="190"/>
      <c r="AE18" s="190"/>
      <c r="AF18" s="190"/>
      <c r="AG18" s="190"/>
      <c r="AH18" s="190"/>
      <c r="AI18" s="190"/>
      <c r="AJ18" s="169" t="str">
        <f>P18</f>
        <v>1st Cost</v>
      </c>
      <c r="AK18" s="190"/>
      <c r="AL18" s="190"/>
      <c r="AM18" s="190"/>
      <c r="AN18" s="190"/>
      <c r="AO18" s="190"/>
      <c r="AP18" s="190"/>
      <c r="AQ18" s="190"/>
      <c r="AR18" s="190"/>
      <c r="AS18" s="190"/>
      <c r="AT18" s="170" t="str">
        <f>Z18</f>
        <v>$/kWh</v>
      </c>
    </row>
    <row r="19" spans="2:46" ht="32.1" customHeight="1">
      <c r="B19" s="192" t="s">
        <v>207</v>
      </c>
      <c r="C19" s="193">
        <f>IFERROR('Measure Selection'!E20,"")</f>
        <v>50000</v>
      </c>
      <c r="E19" s="188" t="s">
        <v>208</v>
      </c>
      <c r="F19" s="189">
        <f>NPV(C26,F11:AJ11)</f>
        <v>264964.26806141605</v>
      </c>
      <c r="H19" s="404" t="s">
        <v>209</v>
      </c>
      <c r="I19" s="405"/>
      <c r="J19" s="405"/>
      <c r="K19" s="406"/>
      <c r="L19" s="194">
        <f>IFERROR((F4+(F5*29.3001)),"")</f>
        <v>20000</v>
      </c>
      <c r="M19" s="190"/>
      <c r="N19" s="190"/>
      <c r="O19" s="194"/>
      <c r="P19" s="195">
        <f>C19</f>
        <v>50000</v>
      </c>
      <c r="Q19" s="196"/>
      <c r="R19" s="196"/>
      <c r="S19" s="196"/>
      <c r="T19" s="196"/>
      <c r="U19" s="196"/>
      <c r="V19" s="196"/>
      <c r="W19" s="196"/>
      <c r="X19" s="196"/>
      <c r="Y19" s="196"/>
      <c r="Z19" s="197">
        <f>IFERROR(P19/L19,"")</f>
        <v>2.5</v>
      </c>
      <c r="AA19" s="196"/>
      <c r="AB19" s="196"/>
      <c r="AC19" s="196"/>
      <c r="AD19" s="196"/>
      <c r="AE19" s="196"/>
      <c r="AF19" s="196"/>
      <c r="AG19" s="196"/>
      <c r="AH19" s="196"/>
      <c r="AI19" s="196"/>
      <c r="AJ19" s="195">
        <f>C19-C22</f>
        <v>25000</v>
      </c>
      <c r="AK19" s="190"/>
      <c r="AL19" s="190"/>
      <c r="AM19" s="190"/>
      <c r="AN19" s="190"/>
      <c r="AO19" s="190"/>
      <c r="AP19" s="190"/>
      <c r="AQ19" s="190"/>
      <c r="AR19" s="190"/>
      <c r="AS19" s="190"/>
      <c r="AT19" s="198">
        <f>IFERROR(AJ19/L19,"")</f>
        <v>1.25</v>
      </c>
    </row>
    <row r="20" spans="2:46" ht="32.1" customHeight="1" thickBot="1">
      <c r="B20" s="165" t="s">
        <v>210</v>
      </c>
      <c r="C20" s="199">
        <f>IFERROR('Measure Selection'!E28,"")</f>
        <v>175000</v>
      </c>
      <c r="E20" s="188" t="s">
        <v>211</v>
      </c>
      <c r="F20" s="189">
        <f>NPV(C26,F11:AT11)</f>
        <v>371009.67098726163</v>
      </c>
      <c r="H20" s="404" t="s">
        <v>212</v>
      </c>
      <c r="I20" s="405"/>
      <c r="J20" s="405"/>
      <c r="K20" s="406"/>
      <c r="L20" s="194">
        <f>F6</f>
        <v>95000</v>
      </c>
      <c r="M20" s="190"/>
      <c r="N20" s="190"/>
      <c r="O20" s="194"/>
      <c r="P20" s="195">
        <f>C20</f>
        <v>175000</v>
      </c>
      <c r="Q20" s="196"/>
      <c r="R20" s="196"/>
      <c r="S20" s="196"/>
      <c r="T20" s="196"/>
      <c r="U20" s="196"/>
      <c r="V20" s="196"/>
      <c r="W20" s="196"/>
      <c r="X20" s="196"/>
      <c r="Y20" s="196"/>
      <c r="Z20" s="197">
        <f>IFERROR(P20/L20,"")</f>
        <v>1.8421052631578947</v>
      </c>
      <c r="AA20" s="196"/>
      <c r="AB20" s="196"/>
      <c r="AC20" s="196"/>
      <c r="AD20" s="196"/>
      <c r="AE20" s="196"/>
      <c r="AF20" s="196"/>
      <c r="AG20" s="196"/>
      <c r="AH20" s="196"/>
      <c r="AI20" s="196"/>
      <c r="AJ20" s="195">
        <f>C20-C23</f>
        <v>82500</v>
      </c>
      <c r="AK20" s="190"/>
      <c r="AL20" s="190"/>
      <c r="AM20" s="190"/>
      <c r="AN20" s="190"/>
      <c r="AO20" s="190"/>
      <c r="AP20" s="190"/>
      <c r="AQ20" s="190"/>
      <c r="AR20" s="190"/>
      <c r="AS20" s="190"/>
      <c r="AT20" s="198">
        <f>IFERROR(AJ20/L20,"")</f>
        <v>0.86842105263157898</v>
      </c>
    </row>
    <row r="21" spans="2:46" ht="32.1" customHeight="1" thickBot="1">
      <c r="B21" s="417" t="s">
        <v>213</v>
      </c>
      <c r="C21" s="418"/>
      <c r="E21" s="200" t="s">
        <v>214</v>
      </c>
      <c r="F21" s="201">
        <f>IFERROR(LOOKUP(1,F16:AT16,F10:AT10),"Not Available")</f>
        <v>7</v>
      </c>
      <c r="H21" s="407" t="s">
        <v>215</v>
      </c>
      <c r="I21" s="408"/>
      <c r="J21" s="408"/>
      <c r="K21" s="409"/>
      <c r="L21" s="202">
        <f>SUM(L19:L20)</f>
        <v>115000</v>
      </c>
      <c r="M21" s="203"/>
      <c r="N21" s="203"/>
      <c r="O21" s="202"/>
      <c r="P21" s="204">
        <f>SUM(P19:P20)</f>
        <v>225000</v>
      </c>
      <c r="Q21" s="203"/>
      <c r="R21" s="203"/>
      <c r="S21" s="203"/>
      <c r="T21" s="203"/>
      <c r="U21" s="203"/>
      <c r="V21" s="203"/>
      <c r="W21" s="203"/>
      <c r="X21" s="203"/>
      <c r="Y21" s="203"/>
      <c r="Z21" s="205">
        <f>IFERROR(P21/L21,"")</f>
        <v>1.9565217391304348</v>
      </c>
      <c r="AA21" s="203"/>
      <c r="AB21" s="203"/>
      <c r="AC21" s="203"/>
      <c r="AD21" s="203"/>
      <c r="AE21" s="203"/>
      <c r="AF21" s="203"/>
      <c r="AG21" s="203"/>
      <c r="AH21" s="203"/>
      <c r="AI21" s="203"/>
      <c r="AJ21" s="204">
        <f>SUM(AJ19:AJ20)</f>
        <v>107500</v>
      </c>
      <c r="AK21" s="206"/>
      <c r="AL21" s="206"/>
      <c r="AM21" s="206"/>
      <c r="AN21" s="206"/>
      <c r="AO21" s="206"/>
      <c r="AP21" s="206"/>
      <c r="AQ21" s="206"/>
      <c r="AR21" s="206"/>
      <c r="AS21" s="206"/>
      <c r="AT21" s="207">
        <f>IFERROR(AJ21/L21,"")</f>
        <v>0.93478260869565222</v>
      </c>
    </row>
    <row r="22" spans="2:46" ht="32.1" customHeight="1">
      <c r="B22" s="208" t="s">
        <v>216</v>
      </c>
      <c r="C22" s="209">
        <f>IFERROR('Incentives Worksheet'!C15,"")</f>
        <v>25000</v>
      </c>
      <c r="H22" s="210" t="s">
        <v>217</v>
      </c>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row>
    <row r="23" spans="2:46" ht="32.1" customHeight="1" thickBot="1">
      <c r="B23" s="211" t="s">
        <v>218</v>
      </c>
      <c r="C23" s="212">
        <f>IFERROR('Incentives Worksheet'!F15,"")</f>
        <v>92500</v>
      </c>
      <c r="L23" s="255"/>
      <c r="M23" s="255"/>
      <c r="N23" s="255"/>
      <c r="O23" s="255"/>
    </row>
    <row r="24" spans="2:46" ht="32.1" customHeight="1">
      <c r="B24" s="402" t="s">
        <v>219</v>
      </c>
      <c r="C24" s="403"/>
      <c r="H24" s="413"/>
      <c r="I24" s="413"/>
      <c r="J24" s="413"/>
      <c r="K24" s="413"/>
      <c r="L24" s="413"/>
      <c r="M24" s="413"/>
      <c r="N24" s="413"/>
      <c r="O24" s="413"/>
      <c r="P24" s="413"/>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row>
    <row r="25" spans="2:46" ht="32.1" customHeight="1">
      <c r="B25" s="213" t="s">
        <v>220</v>
      </c>
      <c r="C25" s="280">
        <v>3.2500000000000001E-2</v>
      </c>
      <c r="H25" s="410"/>
      <c r="I25" s="410"/>
      <c r="J25" s="410"/>
      <c r="K25" s="411"/>
      <c r="L25" s="411"/>
      <c r="M25" s="411"/>
      <c r="N25" s="411"/>
      <c r="O25" s="411"/>
      <c r="P25" s="411"/>
      <c r="Q25" s="65"/>
      <c r="R25" s="65"/>
      <c r="S25" s="65"/>
      <c r="T25" s="65"/>
      <c r="U25" s="65"/>
      <c r="V25" s="65"/>
      <c r="W25" s="255"/>
      <c r="X25" s="255"/>
      <c r="Y25" s="255"/>
      <c r="Z25" s="411"/>
      <c r="AA25" s="411"/>
      <c r="AB25" s="411"/>
      <c r="AC25" s="411"/>
      <c r="AD25" s="411"/>
      <c r="AE25" s="411"/>
      <c r="AF25" s="411"/>
      <c r="AG25" s="411"/>
      <c r="AH25" s="411"/>
      <c r="AI25" s="411"/>
      <c r="AJ25" s="411"/>
      <c r="AK25" s="411"/>
      <c r="AL25" s="411"/>
      <c r="AM25" s="411"/>
      <c r="AN25" s="411"/>
      <c r="AO25" s="411"/>
      <c r="AP25" s="411"/>
    </row>
    <row r="26" spans="2:46" ht="32.1" customHeight="1" thickBot="1">
      <c r="B26" s="214" t="s">
        <v>221</v>
      </c>
      <c r="C26" s="279">
        <v>0.04</v>
      </c>
      <c r="H26" s="412"/>
      <c r="I26" s="412"/>
      <c r="J26" s="412"/>
      <c r="K26" s="410"/>
      <c r="L26" s="410"/>
      <c r="M26" s="410"/>
      <c r="N26" s="410"/>
      <c r="O26" s="410"/>
      <c r="P26" s="410"/>
      <c r="Q26" s="256"/>
      <c r="R26" s="256"/>
      <c r="S26" s="256"/>
      <c r="T26" s="256"/>
      <c r="U26" s="256"/>
      <c r="V26" s="256"/>
      <c r="W26" s="255"/>
      <c r="X26" s="255"/>
      <c r="Y26" s="255"/>
      <c r="Z26" s="410"/>
      <c r="AA26" s="410"/>
      <c r="AB26" s="410"/>
      <c r="AC26" s="410"/>
      <c r="AD26" s="410"/>
      <c r="AE26" s="410"/>
      <c r="AF26" s="410"/>
      <c r="AG26" s="410"/>
      <c r="AH26" s="410"/>
      <c r="AI26" s="410"/>
      <c r="AJ26" s="410"/>
      <c r="AK26" s="410"/>
      <c r="AL26" s="410"/>
      <c r="AM26" s="410"/>
      <c r="AN26" s="410"/>
      <c r="AO26" s="410"/>
      <c r="AP26" s="410"/>
      <c r="AQ26" s="255"/>
      <c r="AR26" s="255"/>
      <c r="AS26" s="255"/>
      <c r="AT26" s="255"/>
    </row>
    <row r="27" spans="2:46" ht="32.1" customHeight="1"/>
    <row r="28" spans="2:46" ht="32.1" customHeight="1"/>
    <row r="29" spans="2:46" ht="32.1" customHeight="1">
      <c r="G29" s="215"/>
    </row>
    <row r="30" spans="2:46" ht="32.1" customHeight="1">
      <c r="G30" s="215"/>
    </row>
    <row r="31" spans="2:46" ht="32.1" customHeight="1">
      <c r="G31" s="215"/>
    </row>
    <row r="32" spans="2:46" ht="32.1" customHeight="1">
      <c r="G32" s="215"/>
    </row>
    <row r="33" spans="7:46" ht="32.1" customHeight="1">
      <c r="G33" s="215"/>
    </row>
    <row r="34" spans="7:46" ht="32.1" customHeight="1">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row>
    <row r="35" spans="7:46" ht="32.1" customHeight="1">
      <c r="G35" s="215"/>
    </row>
    <row r="36" spans="7:46" ht="32.1" customHeight="1">
      <c r="G36" s="215"/>
    </row>
    <row r="37" spans="7:46" ht="32.1" customHeight="1">
      <c r="G37" s="215"/>
    </row>
    <row r="38" spans="7:46" ht="32.1" customHeight="1"/>
    <row r="39" spans="7:46" ht="15.95" customHeight="1"/>
  </sheetData>
  <sheetProtection algorithmName="SHA-512" hashValue="c0Pxe2u4n60fpdVxpRkpWqufQcw6HBdZ4KIwXhNJIdoM9Ci7Q6S9oO4mnULu820+4Fd/y6og+Vy3jjw3ABN4Lg==" saltValue="Kj9EqbggxAShyaTXN/usbA==" spinCount="100000" sheet="1" objects="1" scenarios="1"/>
  <mergeCells count="32">
    <mergeCell ref="E14:AT15"/>
    <mergeCell ref="B10:C10"/>
    <mergeCell ref="F9:AT9"/>
    <mergeCell ref="B1:C1"/>
    <mergeCell ref="E1:AT1"/>
    <mergeCell ref="H2:K2"/>
    <mergeCell ref="E7:F7"/>
    <mergeCell ref="B6:C6"/>
    <mergeCell ref="I3:Z3"/>
    <mergeCell ref="I5:K5"/>
    <mergeCell ref="I4:L4"/>
    <mergeCell ref="E3:G3"/>
    <mergeCell ref="B3:C3"/>
    <mergeCell ref="E9:E10"/>
    <mergeCell ref="AJ17:AT17"/>
    <mergeCell ref="B18:C18"/>
    <mergeCell ref="B21:C21"/>
    <mergeCell ref="E17:F17"/>
    <mergeCell ref="H17:K18"/>
    <mergeCell ref="P17:Z17"/>
    <mergeCell ref="L17:L18"/>
    <mergeCell ref="B24:C24"/>
    <mergeCell ref="H19:K19"/>
    <mergeCell ref="H20:K20"/>
    <mergeCell ref="H21:K21"/>
    <mergeCell ref="Z26:AP26"/>
    <mergeCell ref="Z25:AP25"/>
    <mergeCell ref="H25:J25"/>
    <mergeCell ref="H26:J26"/>
    <mergeCell ref="K25:P25"/>
    <mergeCell ref="K26:P26"/>
    <mergeCell ref="H24:P24"/>
  </mergeCells>
  <pageMargins left="0.7" right="0.7" top="0.75" bottom="0.75" header="0.3" footer="0.3"/>
  <pageSetup scale="39" orientation="landscape" horizontalDpi="0" verticalDpi="0" copies="3"/>
  <ignoredErrors>
    <ignoredError sqref="C9" unlockedFormula="1"/>
  </ignoredErrors>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4B56B06CE8CF428EC0B7AA933D2F69" ma:contentTypeVersion="19" ma:contentTypeDescription="Create a new document." ma:contentTypeScope="" ma:versionID="b823f9c0a3f47dbb351c6c9c96322818">
  <xsd:schema xmlns:xsd="http://www.w3.org/2001/XMLSchema" xmlns:xs="http://www.w3.org/2001/XMLSchema" xmlns:p="http://schemas.microsoft.com/office/2006/metadata/properties" xmlns:ns2="98844f0b-2040-4b93-b197-9c053145a20a" xmlns:ns3="ba6d7285-bd2a-458f-8a59-76d38c5f5a55" xmlns:ns4="3736f80a-61c5-4e33-8f70-9d684d6a4929" xmlns:ns5="dc075490-6b46-41f9-b384-b9e5a8d2b932" targetNamespace="http://schemas.microsoft.com/office/2006/metadata/properties" ma:root="true" ma:fieldsID="b83b2003df1fbd8c16d2a24fa322be62" ns2:_="" ns3:_="" ns4:_="" ns5:_="">
    <xsd:import namespace="98844f0b-2040-4b93-b197-9c053145a20a"/>
    <xsd:import namespace="ba6d7285-bd2a-458f-8a59-76d38c5f5a55"/>
    <xsd:import namespace="3736f80a-61c5-4e33-8f70-9d684d6a4929"/>
    <xsd:import namespace="dc075490-6b46-41f9-b384-b9e5a8d2b9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4:SharedWithDetail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LengthInSeconds" minOccurs="0"/>
                <xsd:element ref="ns2:lcf76f155ced4ddcb4097134ff3c332f" minOccurs="0"/>
                <xsd:element ref="ns5: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844f0b-2040-4b93-b197-9c053145a2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8e01285-3f2b-445f-aab2-d36bb62f3c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d7285-bd2a-458f-8a59-76d38c5f5a5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6f80a-61c5-4e33-8f70-9d684d6a4929" elementFormDefault="qualified">
    <xsd:import namespace="http://schemas.microsoft.com/office/2006/documentManagement/types"/>
    <xsd:import namespace="http://schemas.microsoft.com/office/infopath/2007/PartnerControls"/>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c075490-6b46-41f9-b384-b9e5a8d2b93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5667eeed-fc58-4bfd-b9c8-ac6d8a9a03b5}" ma:internalName="TaxCatchAll" ma:showField="CatchAllData" ma:web="dc075490-6b46-41f9-b384-b9e5a8d2b9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c075490-6b46-41f9-b384-b9e5a8d2b932" xsi:nil="true"/>
    <lcf76f155ced4ddcb4097134ff3c332f xmlns="98844f0b-2040-4b93-b197-9c053145a20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39363D-4CDA-4AE1-B783-5327777B8278}"/>
</file>

<file path=customXml/itemProps2.xml><?xml version="1.0" encoding="utf-8"?>
<ds:datastoreItem xmlns:ds="http://schemas.openxmlformats.org/officeDocument/2006/customXml" ds:itemID="{66FA1765-39DF-4891-83E9-29D1F1D12AF0}"/>
</file>

<file path=customXml/itemProps3.xml><?xml version="1.0" encoding="utf-8"?>
<ds:datastoreItem xmlns:ds="http://schemas.openxmlformats.org/officeDocument/2006/customXml" ds:itemID="{0F0AC2A5-4254-42F4-9436-B78CCF9298E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Bergantz</dc:creator>
  <cp:keywords/>
  <dc:description/>
  <cp:lastModifiedBy/>
  <cp:revision/>
  <dcterms:created xsi:type="dcterms:W3CDTF">2024-03-11T05:36:45Z</dcterms:created>
  <dcterms:modified xsi:type="dcterms:W3CDTF">2024-11-05T22:39:48Z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0x010100504B56B06CE8CF428EC0B7AA933D2F69</vt:lpwstr>
  </property>
</Properties>
</file>